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0140" yWindow="0" windowWidth="10455" windowHeight="10905" tabRatio="639" activeTab="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Checklist!$A$1:$E$26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91" l="1"/>
  <c r="Q14" i="91"/>
  <c r="Q15" i="91"/>
  <c r="Q18" i="91"/>
  <c r="Q20" i="91"/>
  <c r="Q24" i="91"/>
  <c r="Q13" i="91"/>
  <c r="E38" i="68"/>
  <c r="F38" i="68"/>
  <c r="D38" i="68"/>
  <c r="E36" i="67"/>
  <c r="F36" i="67"/>
  <c r="D36" i="67"/>
  <c r="C33" i="71"/>
  <c r="G38" i="102"/>
  <c r="H38" i="102"/>
  <c r="K38" i="102"/>
  <c r="L38" i="102"/>
  <c r="G27" i="102"/>
  <c r="H27" i="102"/>
  <c r="K27" i="102"/>
  <c r="J11" i="58" s="1"/>
  <c r="L27" i="102"/>
  <c r="G16" i="102"/>
  <c r="H16" i="102"/>
  <c r="J16" i="102"/>
  <c r="K16" i="102"/>
  <c r="L16" i="102"/>
  <c r="N33" i="71" l="1"/>
  <c r="F16" i="102"/>
  <c r="M33" i="71" l="1"/>
  <c r="K33" i="71"/>
  <c r="J33" i="71"/>
  <c r="F33" i="71"/>
  <c r="E33" i="71"/>
  <c r="D33" i="71"/>
  <c r="O31" i="71"/>
  <c r="L33" i="71"/>
  <c r="I33" i="71"/>
  <c r="H33" i="71"/>
  <c r="G33" i="71"/>
  <c r="N24" i="71"/>
  <c r="M24" i="71"/>
  <c r="L24" i="71"/>
  <c r="K24" i="71"/>
  <c r="F24" i="71"/>
  <c r="E24" i="71"/>
  <c r="D24" i="71"/>
  <c r="C24" i="71"/>
  <c r="H22" i="71"/>
  <c r="G22" i="71"/>
  <c r="J24" i="71"/>
  <c r="I24" i="71"/>
  <c r="H20" i="71"/>
  <c r="H24" i="71" s="1"/>
  <c r="G20" i="71"/>
  <c r="O20" i="71" s="1"/>
  <c r="N14" i="71"/>
  <c r="M14" i="71"/>
  <c r="K14" i="71"/>
  <c r="J14" i="71"/>
  <c r="G14" i="71"/>
  <c r="F14" i="71"/>
  <c r="E14" i="71"/>
  <c r="D14" i="71"/>
  <c r="L12" i="71"/>
  <c r="I12" i="71"/>
  <c r="H12" i="71"/>
  <c r="C12" i="71"/>
  <c r="L10" i="71"/>
  <c r="L14" i="71" s="1"/>
  <c r="I10" i="71"/>
  <c r="I14" i="71" s="1"/>
  <c r="H10" i="71"/>
  <c r="H14" i="71" s="1"/>
  <c r="C10" i="71"/>
  <c r="O12" i="71" l="1"/>
  <c r="O22" i="71"/>
  <c r="O24" i="71" s="1"/>
  <c r="O10" i="71"/>
  <c r="C14" i="71"/>
  <c r="O29" i="71"/>
  <c r="O33" i="71" s="1"/>
  <c r="G24" i="71"/>
  <c r="F18" i="69"/>
  <c r="E18" i="69"/>
  <c r="D18" i="69"/>
  <c r="J29" i="106"/>
  <c r="L15" i="58" s="1"/>
  <c r="H29" i="106"/>
  <c r="F29" i="106"/>
  <c r="E29" i="106"/>
  <c r="O14" i="71" l="1"/>
  <c r="I3" i="91"/>
  <c r="D3" i="64"/>
  <c r="E3" i="106"/>
  <c r="B3" i="105"/>
  <c r="E3" i="104"/>
  <c r="E3" i="103"/>
  <c r="H3" i="102"/>
  <c r="D3" i="109"/>
  <c r="B3" i="93"/>
  <c r="B3" i="69"/>
  <c r="B2" i="68"/>
  <c r="B3" i="67"/>
  <c r="F3" i="66"/>
  <c r="I13" i="66"/>
  <c r="E13" i="104"/>
  <c r="H11" i="58"/>
  <c r="G11" i="58" s="1"/>
  <c r="F18" i="104"/>
  <c r="L11" i="58" l="1"/>
  <c r="D13" i="93" l="1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E9" i="105" l="1"/>
  <c r="D20" i="69"/>
  <c r="F14" i="103"/>
  <c r="G14" i="103"/>
  <c r="I14" i="103"/>
  <c r="E14" i="103"/>
  <c r="F13" i="103"/>
  <c r="G13" i="103"/>
  <c r="H13" i="103"/>
  <c r="I13" i="103"/>
  <c r="J13" i="103"/>
  <c r="E13" i="103"/>
  <c r="E10" i="103"/>
  <c r="E9" i="103"/>
  <c r="I13" i="93" l="1"/>
  <c r="K12" i="58"/>
  <c r="K14" i="58" l="1"/>
  <c r="K10" i="58"/>
  <c r="K13" i="58"/>
  <c r="G15" i="58" l="1"/>
  <c r="H15" i="58" s="1"/>
  <c r="K15" i="58"/>
  <c r="D25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K16" i="58" l="1"/>
  <c r="I17" i="105"/>
  <c r="M11" i="102" l="1"/>
  <c r="J22" i="102" s="1"/>
  <c r="M12" i="102"/>
  <c r="M15" i="102"/>
  <c r="M10" i="102"/>
  <c r="M14" i="102"/>
  <c r="J23" i="102" l="1"/>
  <c r="M23" i="102" s="1"/>
  <c r="J34" i="102" s="1"/>
  <c r="M34" i="102" s="1"/>
  <c r="J21" i="102"/>
  <c r="J25" i="102"/>
  <c r="M22" i="102"/>
  <c r="J33" i="102" s="1"/>
  <c r="J26" i="102"/>
  <c r="N13" i="102"/>
  <c r="I13" i="102"/>
  <c r="F24" i="102" s="1"/>
  <c r="N15" i="102"/>
  <c r="I15" i="102"/>
  <c r="F26" i="102" s="1"/>
  <c r="N26" i="102" s="1"/>
  <c r="N14" i="102"/>
  <c r="N12" i="102"/>
  <c r="I12" i="102"/>
  <c r="N11" i="102"/>
  <c r="I11" i="102"/>
  <c r="N10" i="102"/>
  <c r="I10" i="102"/>
  <c r="N16" i="102" l="1"/>
  <c r="M21" i="102"/>
  <c r="J32" i="102" s="1"/>
  <c r="M33" i="102"/>
  <c r="M26" i="102"/>
  <c r="J37" i="102" s="1"/>
  <c r="M37" i="102" s="1"/>
  <c r="M25" i="102"/>
  <c r="J36" i="102" s="1"/>
  <c r="M36" i="102" s="1"/>
  <c r="F21" i="102"/>
  <c r="O11" i="102"/>
  <c r="F22" i="102"/>
  <c r="N22" i="102" s="1"/>
  <c r="O12" i="102"/>
  <c r="F23" i="102"/>
  <c r="N23" i="102" s="1"/>
  <c r="O15" i="102"/>
  <c r="O10" i="102"/>
  <c r="M13" i="102"/>
  <c r="M16" i="102" l="1"/>
  <c r="M32" i="102"/>
  <c r="J24" i="102"/>
  <c r="J27" i="102" s="1"/>
  <c r="I26" i="102"/>
  <c r="O26" i="102" s="1"/>
  <c r="I24" i="102"/>
  <c r="I23" i="102"/>
  <c r="O23" i="102" s="1"/>
  <c r="I22" i="102"/>
  <c r="O22" i="102" s="1"/>
  <c r="N21" i="102"/>
  <c r="I21" i="102"/>
  <c r="O13" i="102"/>
  <c r="F32" i="102" l="1"/>
  <c r="M24" i="102"/>
  <c r="M27" i="102" s="1"/>
  <c r="N24" i="102"/>
  <c r="F33" i="102"/>
  <c r="F34" i="102"/>
  <c r="N34" i="102" s="1"/>
  <c r="F35" i="102"/>
  <c r="F37" i="102"/>
  <c r="N37" i="102" s="1"/>
  <c r="O21" i="102"/>
  <c r="N32" i="102" l="1"/>
  <c r="I32" i="102"/>
  <c r="N33" i="102"/>
  <c r="J35" i="102"/>
  <c r="J38" i="102" s="1"/>
  <c r="O24" i="102"/>
  <c r="I37" i="102"/>
  <c r="O37" i="102" s="1"/>
  <c r="I35" i="102"/>
  <c r="I34" i="102"/>
  <c r="O34" i="102" s="1"/>
  <c r="I33" i="102"/>
  <c r="O32" i="102" l="1"/>
  <c r="O33" i="102"/>
  <c r="M35" i="102"/>
  <c r="M38" i="102" s="1"/>
  <c r="N35" i="102"/>
  <c r="O35" i="102" l="1"/>
  <c r="F26" i="67" l="1"/>
  <c r="F34" i="67" s="1"/>
  <c r="E26" i="67"/>
  <c r="E34" i="67" s="1"/>
  <c r="D26" i="67"/>
  <c r="D34" i="67" s="1"/>
  <c r="I11" i="66" l="1"/>
  <c r="K11" i="66"/>
  <c r="G11" i="103"/>
  <c r="E15" i="109"/>
  <c r="K21" i="58" l="1"/>
  <c r="D11" i="105"/>
  <c r="I17" i="104" l="1"/>
  <c r="D15" i="109"/>
  <c r="D13" i="105"/>
  <c r="D11" i="103"/>
  <c r="D19" i="103" l="1"/>
  <c r="F11" i="66" l="1"/>
  <c r="G11" i="66" s="1"/>
  <c r="F36" i="68"/>
  <c r="K12" i="66" s="1"/>
  <c r="E36" i="68"/>
  <c r="I12" i="66" s="1"/>
  <c r="I14" i="66" s="1"/>
  <c r="D36" i="68"/>
  <c r="F13" i="66"/>
  <c r="G13" i="66" s="1"/>
  <c r="G13" i="93"/>
  <c r="F15" i="109"/>
  <c r="D17" i="105"/>
  <c r="J17" i="105"/>
  <c r="H17" i="105"/>
  <c r="G17" i="105"/>
  <c r="F17" i="105"/>
  <c r="E17" i="105"/>
  <c r="G13" i="105"/>
  <c r="F12" i="66" l="1"/>
  <c r="F10" i="103"/>
  <c r="H10" i="103" s="1"/>
  <c r="F9" i="105"/>
  <c r="F19" i="105" s="1"/>
  <c r="K14" i="66"/>
  <c r="J12" i="104" s="1"/>
  <c r="H12" i="104"/>
  <c r="D9" i="109"/>
  <c r="D18" i="109" s="1"/>
  <c r="D21" i="109" s="1"/>
  <c r="F9" i="109"/>
  <c r="F18" i="109" s="1"/>
  <c r="F21" i="109" s="1"/>
  <c r="D19" i="105"/>
  <c r="D20" i="105" s="1"/>
  <c r="E9" i="109"/>
  <c r="E18" i="109" s="1"/>
  <c r="E21" i="109" s="1"/>
  <c r="I10" i="58"/>
  <c r="F12" i="58"/>
  <c r="G19" i="103"/>
  <c r="I12" i="58" s="1"/>
  <c r="G19" i="105"/>
  <c r="G12" i="66" l="1"/>
  <c r="G14" i="66" s="1"/>
  <c r="F12" i="104" s="1"/>
  <c r="F14" i="66"/>
  <c r="E12" i="104" s="1"/>
  <c r="E19" i="105"/>
  <c r="F9" i="103"/>
  <c r="F11" i="103" s="1"/>
  <c r="E11" i="103"/>
  <c r="F13" i="93"/>
  <c r="H9" i="103"/>
  <c r="J10" i="58"/>
  <c r="H10" i="58"/>
  <c r="F18" i="103"/>
  <c r="G10" i="58"/>
  <c r="E13" i="93"/>
  <c r="H10" i="93" s="1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G20" i="105"/>
  <c r="I14" i="58" s="1"/>
  <c r="F14" i="58"/>
  <c r="I14" i="102" l="1"/>
  <c r="I16" i="102" s="1"/>
  <c r="E20" i="105"/>
  <c r="E21" i="105" s="1"/>
  <c r="G14" i="58" s="1"/>
  <c r="J9" i="103"/>
  <c r="H11" i="103"/>
  <c r="H19" i="105"/>
  <c r="H13" i="105"/>
  <c r="E16" i="102" l="1"/>
  <c r="F25" i="102"/>
  <c r="F27" i="102" s="1"/>
  <c r="O14" i="102"/>
  <c r="J9" i="105"/>
  <c r="H20" i="105"/>
  <c r="H13" i="104" l="1"/>
  <c r="O16" i="102"/>
  <c r="N25" i="102"/>
  <c r="N27" i="102" s="1"/>
  <c r="F13" i="104"/>
  <c r="H14" i="103"/>
  <c r="H16" i="103" s="1"/>
  <c r="I25" i="102"/>
  <c r="I27" i="102" s="1"/>
  <c r="H21" i="105"/>
  <c r="J14" i="58" s="1"/>
  <c r="E15" i="103"/>
  <c r="E17" i="103" s="1"/>
  <c r="E16" i="103"/>
  <c r="F16" i="103"/>
  <c r="F15" i="103"/>
  <c r="F17" i="103" s="1"/>
  <c r="J19" i="105"/>
  <c r="J13" i="105"/>
  <c r="J15" i="58"/>
  <c r="I15" i="58"/>
  <c r="F15" i="58"/>
  <c r="E20" i="69" l="1"/>
  <c r="E21" i="69" s="1"/>
  <c r="J13" i="104"/>
  <c r="F19" i="103"/>
  <c r="F21" i="103" s="1"/>
  <c r="H12" i="58" s="1"/>
  <c r="E19" i="103"/>
  <c r="E21" i="103" s="1"/>
  <c r="G12" i="58" s="1"/>
  <c r="O25" i="102"/>
  <c r="O27" i="102" s="1"/>
  <c r="H15" i="103"/>
  <c r="H17" i="103" s="1"/>
  <c r="H19" i="103" s="1"/>
  <c r="H21" i="103" s="1"/>
  <c r="J12" i="58" s="1"/>
  <c r="J10" i="103"/>
  <c r="J11" i="103" s="1"/>
  <c r="F36" i="102"/>
  <c r="J20" i="105"/>
  <c r="J21" i="105" s="1"/>
  <c r="L14" i="58" s="1"/>
  <c r="F38" i="102" l="1"/>
  <c r="F20" i="69" s="1"/>
  <c r="F21" i="69" s="1"/>
  <c r="N36" i="102"/>
  <c r="N38" i="102" s="1"/>
  <c r="I36" i="102"/>
  <c r="I38" i="102" s="1"/>
  <c r="E27" i="102"/>
  <c r="O36" i="102" l="1"/>
  <c r="O38" i="102" s="1"/>
  <c r="E38" i="102"/>
  <c r="J14" i="103"/>
  <c r="J15" i="103" s="1"/>
  <c r="J17" i="103" s="1"/>
  <c r="J19" i="103" s="1"/>
  <c r="J21" i="103" s="1"/>
  <c r="L12" i="58" s="1"/>
  <c r="B19" i="58"/>
  <c r="B20" i="58" s="1"/>
  <c r="J16" i="103" l="1"/>
  <c r="B10" i="105" l="1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10" i="103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0" i="105" l="1"/>
  <c r="B21" i="105" s="1"/>
  <c r="B11" i="58"/>
  <c r="B12" i="58" s="1"/>
  <c r="B13" i="58" s="1"/>
  <c r="B14" i="58" s="1"/>
  <c r="B15" i="58" s="1"/>
  <c r="B16" i="58" s="1"/>
  <c r="B8" i="91" l="1"/>
  <c r="B9" i="91" s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8" i="91" s="1"/>
  <c r="B29" i="91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8" i="67"/>
  <c r="B29" i="67" s="1"/>
  <c r="B30" i="67" s="1"/>
  <c r="B31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<sst xmlns="http://schemas.openxmlformats.org/spreadsheetml/2006/main" count="718" uniqueCount="345">
  <si>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</si>
  <si>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</si>
  <si>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</si>
  <si>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</si>
  <si>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</si>
  <si>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</si>
  <si>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</si>
  <si>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</si>
  <si>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</si>
  <si>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</si>
  <si>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</si>
  <si>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</si>
  <si>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</si>
  <si>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</si>
  <si>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</si>
  <si>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</si>
  <si>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</si>
  <si>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</si>
  <si>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</si>
  <si>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</si>
  <si>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</si>
  <si>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</si>
  <si>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</si>
  <si>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</si>
  <si>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</si>
  <si>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</si>
  <si>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</si>
  <si>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</si>
  <si>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</si>
  <si>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</si>
  <si>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</si>
  <si>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</si>
  <si>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</si>
  <si>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</si>
  <si>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</si>
  <si>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</si>
  <si>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</si>
  <si>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</si>
  <si>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</si>
  <si>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</si>
  <si>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</si>
  <si>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</si>
  <si>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</si>
  <si>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</si>
  <si>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</si>
  <si>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</si>
  <si>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</si>
  <si>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</si>
  <si>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</si>
  <si>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</si>
  <si>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</si>
  <si>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</si>
  <si>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</si>
  <si>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</si>
  <si>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</si>
  <si>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</si>
  <si>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</si>
  <si>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</si>
  <si>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</si>
  <si>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</si>
  <si>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</si>
  <si>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</si>
  <si>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</si>
  <si>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</si>
  <si>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</si>
  <si>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</si>
  <si>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</si>
  <si>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</si>
  <si>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</si>
  <si>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</si>
  <si>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</si>
  <si>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</si>
  <si>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</si>
  <si>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</si>
  <si>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</si>
  <si>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</si>
  <si>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</si>
  <si>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</si>
  <si>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</si>
  <si>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</si>
  <si>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</si>
  <si>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</si>
  <si>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</si>
  <si>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</si>
  <si>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</si>
  <si>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</si>
  <si>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</si>
  <si>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</si>
  <si>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</si>
  <si>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</si>
  <si>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</si>
  <si>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</si>
  <si>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</si>
  <si>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</si>
  <si>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</si>
  <si>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</si>
  <si>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</si>
  <si>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</si>
  <si>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</si>
  <si>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</si>
  <si>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</si>
  <si>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</si>
  <si>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</si>
  <si>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</si>
  <si>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</si>
  <si>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</si>
  <si>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</si>
  <si>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</si>
  <si>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</si>
  <si>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</si>
  <si>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</si>
  <si>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</si>
  <si>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</si>
  <si>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</si>
  <si>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</si>
  <si>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</si>
  <si>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</si>
  <si>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</si>
  <si>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</si>
  <si>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</si>
  <si>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</si>
  <si>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</si>
  <si>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</si>
  <si>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</si>
  <si>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</si>
  <si>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</si>
  <si>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</si>
  <si>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</si>
  <si>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</si>
  <si>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</si>
  <si>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</si>
  <si>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</si>
  <si>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</si>
  <si>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</si>
  <si>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</si>
  <si>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</si>
  <si>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</si>
  <si>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</si>
  <si>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</si>
  <si>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</si>
  <si>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</si>
  <si>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</si>
  <si>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</si>
  <si>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</si>
  <si>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</si>
  <si>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</si>
  <si>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</si>
  <si>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</si>
  <si>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</si>
  <si>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</si>
  <si>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</si>
  <si>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</si>
  <si>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</si>
  <si>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</si>
  <si>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</si>
  <si>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</si>
  <si>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</si>
  <si>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</si>
  <si>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</si>
  <si>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</si>
  <si>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</si>
  <si>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</si>
  <si>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</si>
  <si>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</si>
  <si>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</si>
  <si>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</si>
  <si>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</si>
  <si>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</si>
  <si>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</si>
  <si>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</si>
  <si>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</si>
  <si>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</si>
  <si>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</si>
  <si>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</si>
  <si>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</si>
  <si>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</si>
  <si>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</si>
  <si>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</si>
  <si>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</si>
  <si>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</si>
  <si>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</si>
  <si>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</si>
  <si>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</si>
  <si>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</si>
  <si>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</si>
  <si>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</si>
  <si>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</si>
  <si>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</si>
  <si>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</si>
  <si>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</si>
  <si>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</si>
  <si>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</si>
  <si>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</si>
  <si>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</si>
  <si>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</si>
  <si>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</si>
  <si>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</si>
  <si>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</si>
  <si>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</si>
  <si>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</si>
  <si>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</si>
  <si>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</si>
  <si>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</si>
  <si>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</si>
  <si>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</si>
  <si>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</si>
  <si>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</si>
  <si>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</si>
  <si>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</si>
  <si>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</si>
  <si>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</si>
  <si>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</si>
  <si>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</si>
  <si>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</si>
  <si>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</si>
  <si>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</si>
  <si>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</si>
  <si>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</si>
  <si>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</si>
  <si>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</si>
  <si>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</si>
  <si>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</si>
  <si>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</si>
  <si>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</si>
  <si>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</si>
  <si>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</si>
  <si>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</si>
  <si>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</si>
  <si>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</si>
  <si>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</si>
  <si>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</si>
  <si>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</si>
  <si>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</si>
  <si>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</si>
  <si>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</si>
  <si>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</si>
  <si>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</si>
  <si>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</si>
  <si>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</si>
  <si>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</si>
  <si>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</si>
  <si>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</si>
  <si>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</si>
  <si>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</si>
  <si>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</si>
  <si>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</si>
  <si>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</si>
  <si>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</si>
  <si>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</si>
  <si>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</si>
  <si>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</si>
  <si>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</si>
  <si>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</si>
  <si>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</si>
  <si>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</si>
  <si>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</si>
  <si>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</si>
  <si>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</si>
  <si>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</si>
  <si>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</si>
  <si>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</si>
  <si>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</si>
  <si>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</si>
  <si>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</si>
  <si>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</si>
  <si>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</si>
  <si>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</si>
  <si>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</si>
  <si>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</si>
  <si>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</si>
  <si>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</si>
  <si>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</si>
  <si>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</si>
  <si>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</si>
  <si>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</si>
  <si>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</si>
  <si>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</si>
  <si>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</si>
  <si>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</si>
  <si>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</si>
  <si>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</si>
  <si>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</si>
  <si>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</si>
  <si>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</si>
  <si>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</si>
  <si>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</si>
  <si>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</si>
  <si>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</si>
  <si>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</si>
  <si>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</si>
  <si>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</si>
  <si>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</si>
  <si>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</si>
  <si>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</si>
  <si>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</si>
  <si>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</si>
  <si>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</si>
  <si>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</si>
  <si>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</si>
  <si>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</si>
  <si>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</si>
  <si>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</si>
  <si>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</si>
  <si>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</si>
  <si>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</si>
  <si>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</si>
  <si>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</si>
  <si>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</si>
  <si>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</si>
  <si>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</si>
  <si>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</si>
  <si>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</si>
  <si>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</si>
  <si>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</si>
  <si>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</si>
  <si>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</si>
  <si>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</si>
  <si>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</si>
  <si>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</si>
  <si>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</si>
  <si>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</si>
  <si>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</si>
  <si>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</si>
  <si>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</si>
  <si>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</si>
  <si>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</si>
  <si>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</si>
  <si>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</si>
  <si>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</si>
  <si>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Pochampad-II</t>
  </si>
  <si>
    <t>BUILDINGS</t>
  </si>
  <si>
    <t>PLANT AND EQUIPMENT</t>
  </si>
  <si>
    <t>HYDRAULIC WORKS</t>
  </si>
  <si>
    <t>FURNITURE &amp; FIXTURES</t>
  </si>
  <si>
    <t>OFFICE EQUIPMENTS</t>
  </si>
  <si>
    <t>POCHAMPAD-II</t>
  </si>
  <si>
    <t>TSSPDCL (70.55%)</t>
  </si>
  <si>
    <t>TSNPDCL (29.45%)</t>
  </si>
  <si>
    <t>Non-Tariff Income true-up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</si>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</sst>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0.00000000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%"/>
    <numFmt numFmtId="177" formatCode="0.00000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7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6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7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7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164" fontId="2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8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9" fillId="0" borderId="0"/>
    <xf numFmtId="0" fontId="3" fillId="0" borderId="0" applyFont="0" applyFill="0" applyBorder="0" applyAlignment="0" applyProtection="0"/>
    <xf numFmtId="0" fontId="3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</cellStyleXfs>
  <cellXfs count="266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22" fillId="0" borderId="0" xfId="10" applyFont="1" applyAlignment="1">
      <alignment horizontal="center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22" fillId="4" borderId="13" xfId="67" applyFont="1" applyFill="1" applyBorder="1" applyAlignment="1">
      <alignment horizontal="center" vertical="center" wrapText="1"/>
    </xf>
    <xf numFmtId="0" fontId="22" fillId="4" borderId="14" xfId="67" applyFont="1" applyFill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6" fontId="17" fillId="0" borderId="0" xfId="10" applyNumberFormat="1" applyFont="1" applyAlignment="1">
      <alignment vertical="center"/>
    </xf>
    <xf numFmtId="0" fontId="24" fillId="0" borderId="0" xfId="1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6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2" fontId="17" fillId="0" borderId="4" xfId="10" applyNumberFormat="1" applyFont="1" applyBorder="1" applyAlignment="1">
      <alignment horizontal="center" vertical="center"/>
    </xf>
    <xf numFmtId="2" fontId="22" fillId="6" borderId="4" xfId="0" applyNumberFormat="1" applyFont="1" applyFill="1" applyBorder="1" applyAlignment="1">
      <alignment vertical="center"/>
    </xf>
    <xf numFmtId="2" fontId="22" fillId="0" borderId="4" xfId="10" applyNumberFormat="1" applyFont="1" applyBorder="1" applyAlignment="1">
      <alignment horizontal="center" vertical="center" wrapText="1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14" applyNumberFormat="1" applyFont="1" applyFill="1" applyBorder="1">
      <alignment vertical="center"/>
    </xf>
    <xf numFmtId="0" fontId="22" fillId="0" borderId="9" xfId="14" applyFont="1" applyBorder="1">
      <alignment vertical="center"/>
    </xf>
    <xf numFmtId="2" fontId="22" fillId="6" borderId="9" xfId="14" applyNumberFormat="1" applyFont="1" applyFill="1" applyBorder="1">
      <alignment vertical="center"/>
    </xf>
    <xf numFmtId="10" fontId="17" fillId="0" borderId="9" xfId="14" applyNumberFormat="1" applyFont="1" applyBorder="1">
      <alignment vertical="center"/>
    </xf>
    <xf numFmtId="2" fontId="17" fillId="0" borderId="9" xfId="14" applyNumberFormat="1" applyFont="1" applyBorder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17" fillId="0" borderId="4" xfId="14" applyNumberFormat="1" applyFont="1" applyBorder="1" applyAlignment="1">
      <alignment horizontal="right" vertical="center"/>
    </xf>
    <xf numFmtId="0" fontId="17" fillId="0" borderId="4" xfId="10" applyFont="1" applyBorder="1" applyAlignment="1">
      <alignment horizontal="right" vertical="center" wrapText="1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0" fontId="22" fillId="0" borderId="3" xfId="14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2" fontId="22" fillId="0" borderId="4" xfId="10" applyNumberFormat="1" applyFont="1" applyBorder="1" applyAlignment="1">
      <alignment vertical="top" wrapText="1"/>
    </xf>
    <xf numFmtId="2" fontId="22" fillId="0" borderId="4" xfId="14" applyNumberFormat="1" applyFont="1" applyBorder="1">
      <alignment vertical="center"/>
    </xf>
    <xf numFmtId="10" fontId="17" fillId="0" borderId="0" xfId="14" applyNumberFormat="1" applyFont="1">
      <alignment vertical="center"/>
    </xf>
    <xf numFmtId="2" fontId="17" fillId="0" borderId="9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2" fontId="17" fillId="0" borderId="0" xfId="14" applyNumberFormat="1" applyFont="1">
      <alignment vertical="center"/>
    </xf>
    <xf numFmtId="171" fontId="17" fillId="0" borderId="0" xfId="14" applyNumberFormat="1" applyFont="1">
      <alignment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0" fontId="17" fillId="0" borderId="4" xfId="0" applyFont="1" applyBorder="1"/>
    <xf numFmtId="164" fontId="17" fillId="0" borderId="4" xfId="70" applyFont="1" applyBorder="1"/>
    <xf numFmtId="164" fontId="25" fillId="0" borderId="4" xfId="70" applyFont="1" applyBorder="1"/>
    <xf numFmtId="10" fontId="25" fillId="0" borderId="4" xfId="0" applyNumberFormat="1" applyFont="1" applyBorder="1"/>
    <xf numFmtId="169" fontId="17" fillId="0" borderId="0" xfId="10" applyNumberFormat="1" applyFont="1" applyAlignment="1">
      <alignment vertical="center"/>
    </xf>
    <xf numFmtId="0" fontId="0" fillId="0" borderId="4" xfId="0" applyBorder="1"/>
    <xf numFmtId="164" fontId="17" fillId="0" borderId="4" xfId="70" applyFont="1" applyBorder="1" applyAlignment="1">
      <alignment horizontal="center" vertical="center"/>
    </xf>
    <xf numFmtId="164" fontId="17" fillId="0" borderId="4" xfId="70" applyFont="1" applyBorder="1" applyAlignment="1">
      <alignment vertical="center"/>
    </xf>
    <xf numFmtId="164" fontId="0" fillId="0" borderId="4" xfId="70" applyFont="1" applyBorder="1"/>
    <xf numFmtId="2" fontId="31" fillId="0" borderId="4" xfId="10" applyNumberFormat="1" applyFont="1" applyBorder="1" applyAlignment="1">
      <alignment horizontal="center" vertical="center"/>
    </xf>
    <xf numFmtId="0" fontId="31" fillId="0" borderId="4" xfId="10" applyFont="1" applyBorder="1" applyAlignment="1">
      <alignment horizontal="center" vertical="center" wrapText="1"/>
    </xf>
    <xf numFmtId="0" fontId="22" fillId="0" borderId="18" xfId="10" applyFont="1" applyBorder="1" applyAlignment="1">
      <alignment vertical="center" wrapText="1"/>
    </xf>
    <xf numFmtId="2" fontId="17" fillId="0" borderId="0" xfId="10" applyNumberFormat="1" applyFont="1" applyAlignment="1">
      <alignment horizontal="left" vertical="center"/>
    </xf>
    <xf numFmtId="2" fontId="22" fillId="6" borderId="13" xfId="19" applyNumberFormat="1" applyFont="1" applyFill="1" applyBorder="1" applyAlignment="1">
      <alignment horizontal="right" vertical="center"/>
    </xf>
    <xf numFmtId="10" fontId="22" fillId="6" borderId="13" xfId="67" applyNumberFormat="1" applyFont="1" applyFill="1" applyBorder="1" applyAlignment="1">
      <alignment horizontal="right" vertical="center"/>
    </xf>
    <xf numFmtId="164" fontId="17" fillId="0" borderId="0" xfId="10" applyNumberFormat="1" applyFont="1" applyAlignment="1">
      <alignment vertical="center"/>
    </xf>
    <xf numFmtId="0" fontId="17" fillId="4" borderId="12" xfId="67" applyFont="1" applyFill="1" applyBorder="1" applyAlignment="1">
      <alignment horizontal="right" vertical="center"/>
    </xf>
    <xf numFmtId="0" fontId="22" fillId="4" borderId="13" xfId="67" applyFont="1" applyFill="1" applyBorder="1" applyAlignment="1">
      <alignment horizontal="right" vertical="center"/>
    </xf>
    <xf numFmtId="0" fontId="9" fillId="0" borderId="4" xfId="14" applyFont="1" applyBorder="1" applyAlignment="1">
      <alignment vertical="center" wrapText="1"/>
    </xf>
    <xf numFmtId="2" fontId="17" fillId="0" borderId="0" xfId="10" applyNumberFormat="1" applyFont="1" applyAlignment="1">
      <alignment vertical="center"/>
    </xf>
    <xf numFmtId="2" fontId="22" fillId="6" borderId="4" xfId="14" applyNumberFormat="1" applyFont="1" applyFill="1" applyBorder="1" applyAlignment="1">
      <alignment horizontal="right" vertical="center"/>
    </xf>
    <xf numFmtId="2" fontId="22" fillId="5" borderId="4" xfId="14" applyNumberFormat="1" applyFont="1" applyFill="1" applyBorder="1" applyAlignment="1">
      <alignment horizontal="right" vertical="center"/>
    </xf>
    <xf numFmtId="2" fontId="22" fillId="0" borderId="4" xfId="14" applyNumberFormat="1" applyFont="1" applyBorder="1" applyAlignment="1">
      <alignment horizontal="right" vertical="center"/>
    </xf>
    <xf numFmtId="170" fontId="22" fillId="6" borderId="4" xfId="14" applyNumberFormat="1" applyFont="1" applyFill="1" applyBorder="1" applyAlignment="1">
      <alignment horizontal="right" vertical="center"/>
    </xf>
    <xf numFmtId="2" fontId="22" fillId="6" borderId="18" xfId="14" applyNumberFormat="1" applyFont="1" applyFill="1" applyBorder="1" applyAlignment="1">
      <alignment horizontal="right" vertical="center"/>
    </xf>
    <xf numFmtId="176" fontId="17" fillId="0" borderId="9" xfId="38" applyNumberFormat="1" applyFont="1" applyBorder="1" applyAlignment="1">
      <alignment vertical="center"/>
    </xf>
    <xf numFmtId="176" fontId="17" fillId="0" borderId="9" xfId="14" applyNumberFormat="1" applyFont="1" applyBorder="1">
      <alignment vertical="center"/>
    </xf>
    <xf numFmtId="176" fontId="22" fillId="6" borderId="9" xfId="14" applyNumberFormat="1" applyFont="1" applyFill="1" applyBorder="1">
      <alignment vertical="center"/>
    </xf>
    <xf numFmtId="168" fontId="17" fillId="0" borderId="0" xfId="14" applyNumberFormat="1" applyFont="1">
      <alignment vertical="center"/>
    </xf>
    <xf numFmtId="0" fontId="17" fillId="4" borderId="5" xfId="67" applyFont="1" applyFill="1" applyBorder="1" applyAlignment="1">
      <alignment horizontal="center" vertical="center"/>
    </xf>
    <xf numFmtId="0" fontId="22" fillId="4" borderId="18" xfId="67" applyFont="1" applyFill="1" applyBorder="1" applyAlignment="1">
      <alignment horizontal="center" vertical="center"/>
    </xf>
    <xf numFmtId="2" fontId="17" fillId="0" borderId="4" xfId="14" applyNumberFormat="1" applyFont="1" applyBorder="1" applyAlignment="1">
      <alignment horizontal="right" vertical="center" wrapText="1"/>
    </xf>
    <xf numFmtId="0" fontId="22" fillId="4" borderId="8" xfId="67" applyFont="1" applyFill="1" applyBorder="1" applyAlignment="1">
      <alignment horizontal="center" vertical="center" wrapText="1"/>
    </xf>
    <xf numFmtId="0" fontId="0" fillId="0" borderId="18" xfId="0" applyBorder="1"/>
    <xf numFmtId="164" fontId="17" fillId="4" borderId="18" xfId="70" applyFont="1" applyFill="1" applyBorder="1" applyAlignment="1">
      <alignment horizontal="center" vertical="center"/>
    </xf>
    <xf numFmtId="0" fontId="22" fillId="4" borderId="8" xfId="67" applyFont="1" applyFill="1" applyBorder="1" applyAlignment="1">
      <alignment horizontal="center" vertical="center"/>
    </xf>
    <xf numFmtId="164" fontId="17" fillId="4" borderId="8" xfId="70" applyFont="1" applyFill="1" applyBorder="1" applyAlignment="1">
      <alignment horizontal="center" vertical="center"/>
    </xf>
    <xf numFmtId="2" fontId="33" fillId="0" borderId="18" xfId="10" applyNumberFormat="1" applyFont="1" applyBorder="1" applyAlignment="1">
      <alignment horizontal="right" vertical="center"/>
    </xf>
    <xf numFmtId="2" fontId="32" fillId="0" borderId="18" xfId="10" applyNumberFormat="1" applyFont="1" applyBorder="1" applyAlignment="1">
      <alignment horizontal="right" vertical="center"/>
    </xf>
    <xf numFmtId="164" fontId="17" fillId="4" borderId="10" xfId="70" applyFont="1" applyFill="1" applyBorder="1" applyAlignment="1">
      <alignment horizontal="center" vertical="center"/>
    </xf>
    <xf numFmtId="0" fontId="22" fillId="0" borderId="18" xfId="10" applyFont="1" applyBorder="1" applyAlignment="1">
      <alignment horizontal="center" vertical="center" wrapText="1"/>
    </xf>
    <xf numFmtId="16" fontId="22" fillId="0" borderId="18" xfId="10" applyNumberFormat="1" applyFont="1" applyBorder="1" applyAlignment="1">
      <alignment horizontal="center" vertical="center" wrapText="1"/>
    </xf>
    <xf numFmtId="0" fontId="17" fillId="0" borderId="18" xfId="10" applyFont="1" applyBorder="1" applyAlignment="1">
      <alignment horizontal="center" vertical="center" wrapText="1"/>
    </xf>
    <xf numFmtId="2" fontId="34" fillId="0" borderId="18" xfId="10" applyNumberFormat="1" applyFont="1" applyBorder="1" applyAlignment="1">
      <alignment vertical="center"/>
    </xf>
    <xf numFmtId="0" fontId="17" fillId="0" borderId="18" xfId="10" applyFont="1" applyBorder="1" applyAlignment="1">
      <alignment horizontal="left" vertical="center" wrapText="1"/>
    </xf>
    <xf numFmtId="0" fontId="34" fillId="0" borderId="18" xfId="10" applyFont="1" applyBorder="1" applyAlignment="1">
      <alignment vertical="center"/>
    </xf>
    <xf numFmtId="0" fontId="22" fillId="0" borderId="18" xfId="10" applyFont="1" applyBorder="1" applyAlignment="1">
      <alignment vertical="center"/>
    </xf>
    <xf numFmtId="2" fontId="34" fillId="6" borderId="18" xfId="10" applyNumberFormat="1" applyFont="1" applyFill="1" applyBorder="1" applyAlignment="1">
      <alignment vertical="center"/>
    </xf>
    <xf numFmtId="0" fontId="35" fillId="0" borderId="0" xfId="10" applyFont="1" applyAlignment="1">
      <alignment vertical="center"/>
    </xf>
    <xf numFmtId="0" fontId="36" fillId="0" borderId="0" xfId="10" applyFont="1" applyAlignment="1">
      <alignment horizontal="centerContinuous" vertical="center"/>
    </xf>
    <xf numFmtId="0" fontId="36" fillId="0" borderId="0" xfId="10" applyFont="1" applyAlignment="1">
      <alignment horizontal="center" vertical="center"/>
    </xf>
    <xf numFmtId="0" fontId="17" fillId="0" borderId="18" xfId="10" applyFont="1" applyBorder="1" applyAlignment="1">
      <alignment vertical="center"/>
    </xf>
    <xf numFmtId="0" fontId="34" fillId="0" borderId="18" xfId="10" applyFont="1" applyBorder="1" applyAlignment="1">
      <alignment horizontal="right" vertical="center"/>
    </xf>
    <xf numFmtId="0" fontId="34" fillId="0" borderId="18" xfId="10" applyFont="1" applyBorder="1" applyAlignment="1">
      <alignment horizontal="center" vertical="center" wrapText="1"/>
    </xf>
    <xf numFmtId="16" fontId="34" fillId="0" borderId="18" xfId="10" applyNumberFormat="1" applyFont="1" applyBorder="1" applyAlignment="1">
      <alignment horizontal="center" vertical="center" wrapText="1"/>
    </xf>
    <xf numFmtId="0" fontId="25" fillId="0" borderId="18" xfId="10" applyFont="1" applyBorder="1" applyAlignment="1">
      <alignment vertical="center"/>
    </xf>
    <xf numFmtId="2" fontId="36" fillId="6" borderId="0" xfId="10" applyNumberFormat="1" applyFont="1" applyFill="1" applyAlignment="1">
      <alignment vertical="center"/>
    </xf>
    <xf numFmtId="0" fontId="36" fillId="0" borderId="0" xfId="10" applyFont="1" applyAlignment="1">
      <alignment horizontal="right" vertical="center"/>
    </xf>
    <xf numFmtId="0" fontId="34" fillId="0" borderId="0" xfId="10" applyFont="1" applyAlignment="1">
      <alignment horizontal="right" vertical="center"/>
    </xf>
    <xf numFmtId="2" fontId="34" fillId="0" borderId="18" xfId="10" applyNumberFormat="1" applyFont="1" applyBorder="1" applyAlignment="1">
      <alignment horizontal="right" vertical="center"/>
    </xf>
    <xf numFmtId="2" fontId="22" fillId="6" borderId="18" xfId="10" applyNumberFormat="1" applyFont="1" applyFill="1" applyBorder="1" applyAlignment="1">
      <alignment vertical="center"/>
    </xf>
    <xf numFmtId="164" fontId="1" fillId="0" borderId="18" xfId="70" applyFont="1" applyBorder="1"/>
    <xf numFmtId="164" fontId="1" fillId="0" borderId="18" xfId="462" applyNumberFormat="1" applyBorder="1"/>
    <xf numFmtId="164" fontId="1" fillId="0" borderId="18" xfId="465" applyNumberFormat="1" applyBorder="1"/>
    <xf numFmtId="164" fontId="1" fillId="0" borderId="18" xfId="466" applyNumberFormat="1" applyBorder="1"/>
    <xf numFmtId="164" fontId="37" fillId="0" borderId="18" xfId="466" applyNumberFormat="1" applyFont="1" applyBorder="1"/>
    <xf numFmtId="164" fontId="17" fillId="0" borderId="18" xfId="14" applyNumberFormat="1" applyFont="1" applyBorder="1">
      <alignment vertical="center"/>
    </xf>
    <xf numFmtId="164" fontId="17" fillId="0" borderId="4" xfId="14" applyNumberFormat="1" applyFont="1" applyBorder="1">
      <alignment vertical="center"/>
    </xf>
    <xf numFmtId="164" fontId="39" fillId="7" borderId="18" xfId="94" applyFont="1" applyFill="1" applyBorder="1"/>
    <xf numFmtId="2" fontId="17" fillId="6" borderId="9" xfId="14" applyNumberFormat="1" applyFont="1" applyFill="1" applyBorder="1" applyAlignment="1">
      <alignment horizontal="right" vertical="center"/>
    </xf>
    <xf numFmtId="10" fontId="17" fillId="0" borderId="9" xfId="14" applyNumberFormat="1" applyFont="1" applyBorder="1" applyAlignment="1">
      <alignment horizontal="right" vertical="center"/>
    </xf>
    <xf numFmtId="0" fontId="22" fillId="0" borderId="8" xfId="0" applyFont="1" applyBorder="1" applyAlignment="1">
      <alignment horizontal="right" vertical="center"/>
    </xf>
    <xf numFmtId="177" fontId="32" fillId="0" borderId="18" xfId="10" applyNumberFormat="1" applyFont="1" applyBorder="1" applyAlignment="1">
      <alignment horizontal="right" vertical="center"/>
    </xf>
    <xf numFmtId="43" fontId="32" fillId="0" borderId="18" xfId="94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right" vertical="center"/>
    </xf>
    <xf numFmtId="0" fontId="32" fillId="0" borderId="8" xfId="10" applyFont="1" applyBorder="1" applyAlignment="1">
      <alignment horizontal="center" vertical="center" wrapText="1"/>
    </xf>
    <xf numFmtId="0" fontId="33" fillId="0" borderId="18" xfId="10" applyFont="1" applyBorder="1" applyAlignment="1">
      <alignment vertical="center" wrapText="1"/>
    </xf>
    <xf numFmtId="0" fontId="32" fillId="0" borderId="18" xfId="10" applyFont="1" applyBorder="1" applyAlignment="1">
      <alignment vertical="center" wrapText="1"/>
    </xf>
    <xf numFmtId="0" fontId="32" fillId="0" borderId="18" xfId="10" applyFont="1" applyBorder="1" applyAlignment="1">
      <alignment horizontal="center" vertical="center" wrapText="1"/>
    </xf>
    <xf numFmtId="0" fontId="33" fillId="0" borderId="18" xfId="10" applyFont="1" applyBorder="1" applyAlignment="1">
      <alignment vertical="center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4" xfId="67" applyFont="1" applyFill="1" applyBorder="1" applyAlignment="1">
      <alignment horizontal="center" vertical="center" wrapText="1"/>
    </xf>
    <xf numFmtId="0" fontId="22" fillId="4" borderId="11" xfId="67" applyFont="1" applyFill="1" applyBorder="1" applyAlignment="1">
      <alignment horizontal="center" vertical="center" wrapText="1"/>
    </xf>
    <xf numFmtId="0" fontId="22" fillId="4" borderId="15" xfId="67" applyFont="1" applyFill="1" applyBorder="1" applyAlignment="1">
      <alignment horizontal="center" vertical="center"/>
    </xf>
    <xf numFmtId="0" fontId="22" fillId="4" borderId="16" xfId="67" applyFont="1" applyFill="1" applyBorder="1" applyAlignment="1">
      <alignment horizontal="center" vertical="center"/>
    </xf>
    <xf numFmtId="0" fontId="22" fillId="4" borderId="17" xfId="67" applyFont="1" applyFill="1" applyBorder="1" applyAlignment="1">
      <alignment horizontal="center" vertical="center"/>
    </xf>
    <xf numFmtId="0" fontId="22" fillId="4" borderId="5" xfId="67" applyFont="1" applyFill="1" applyBorder="1" applyAlignment="1">
      <alignment horizontal="center" vertical="center" wrapText="1"/>
    </xf>
    <xf numFmtId="0" fontId="22" fillId="4" borderId="12" xfId="67" applyFont="1" applyFill="1" applyBorder="1" applyAlignment="1">
      <alignment horizontal="center" vertical="center" wrapText="1"/>
    </xf>
    <xf numFmtId="0" fontId="22" fillId="4" borderId="4" xfId="67" quotePrefix="1" applyFont="1" applyFill="1" applyBorder="1" applyAlignment="1">
      <alignment horizontal="center" vertical="center" wrapText="1"/>
    </xf>
    <xf numFmtId="0" fontId="22" fillId="4" borderId="13" xfId="67" quotePrefix="1" applyFont="1" applyFill="1" applyBorder="1" applyAlignment="1">
      <alignment horizontal="center" vertical="center" wrapText="1"/>
    </xf>
    <xf numFmtId="0" fontId="22" fillId="4" borderId="13" xfId="67" applyFont="1" applyFill="1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/>
    </xf>
    <xf numFmtId="0" fontId="22" fillId="0" borderId="9" xfId="10" applyFont="1" applyBorder="1" applyAlignment="1">
      <alignment horizontal="center" vertical="center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34" fillId="0" borderId="6" xfId="10" applyFont="1" applyBorder="1" applyAlignment="1">
      <alignment horizontal="center" vertical="center"/>
    </xf>
    <xf numFmtId="0" fontId="34" fillId="0" borderId="3" xfId="10" applyFont="1" applyBorder="1" applyAlignment="1">
      <alignment horizontal="center" vertical="center"/>
    </xf>
    <xf numFmtId="0" fontId="34" fillId="0" borderId="9" xfId="10" applyFont="1" applyBorder="1" applyAlignment="1">
      <alignment horizontal="center" vertical="center"/>
    </xf>
    <xf numFmtId="0" fontId="22" fillId="0" borderId="6" xfId="10" applyFont="1" applyBorder="1" applyAlignment="1">
      <alignment horizontal="center" vertical="center"/>
    </xf>
    <xf numFmtId="0" fontId="22" fillId="0" borderId="0" xfId="14" applyFont="1" applyAlignment="1">
      <alignment horizontal="center" vertical="center"/>
    </xf>
    <xf numFmtId="0" fontId="22" fillId="0" borderId="18" xfId="14" applyFont="1" applyBorder="1" applyAlignment="1">
      <alignment horizontal="center" vertical="center" wrapText="1"/>
    </xf>
    <xf numFmtId="0" fontId="22" fillId="0" borderId="18" xfId="10" applyFont="1" applyBorder="1" applyAlignment="1">
      <alignment horizontal="center" vertical="center"/>
    </xf>
    <xf numFmtId="0" fontId="17" fillId="0" borderId="18" xfId="10" applyFont="1" applyBorder="1" applyAlignment="1">
      <alignment horizontal="center" vertical="center"/>
    </xf>
    <xf numFmtId="0" fontId="22" fillId="0" borderId="18" xfId="10" applyFont="1" applyBorder="1" applyAlignment="1">
      <alignment horizontal="left" vertical="center" wrapText="1"/>
    </xf>
    <xf numFmtId="0" fontId="22" fillId="0" borderId="18" xfId="10" applyFont="1" applyBorder="1" applyAlignment="1">
      <alignment horizontal="left" vertical="center"/>
    </xf>
  </cellXfs>
  <cellStyles count="467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1" xfId="96"/>
    <cellStyle name="Comma 11 2" xfId="19"/>
    <cellStyle name="Comma 11 2 10" xfId="435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5" xfId="219"/>
    <cellStyle name="Normal 26" xfId="22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G13" sqref="G13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17" t="s">
        <v>297</v>
      </c>
      <c r="C1" s="217"/>
      <c r="D1" s="218"/>
      <c r="E1" s="218"/>
      <c r="F1" s="1"/>
      <c r="G1" s="1"/>
      <c r="H1" s="1"/>
    </row>
    <row r="2" spans="2:8" ht="15.75" x14ac:dyDescent="0.2">
      <c r="B2" s="217" t="s">
        <v>329</v>
      </c>
      <c r="C2" s="217"/>
      <c r="D2" s="218"/>
      <c r="E2" s="218"/>
      <c r="F2" s="1"/>
      <c r="G2" s="1"/>
      <c r="H2" s="1"/>
    </row>
    <row r="3" spans="2:8" s="10" customFormat="1" ht="15.75" x14ac:dyDescent="0.2">
      <c r="B3" s="219" t="s">
        <v>272</v>
      </c>
      <c r="C3" s="219"/>
      <c r="D3" s="220"/>
      <c r="E3" s="220"/>
      <c r="F3" s="1"/>
      <c r="G3" s="1"/>
      <c r="H3" s="1"/>
    </row>
    <row r="4" spans="2:8" ht="15.75" x14ac:dyDescent="0.2">
      <c r="D4" s="66" t="s">
        <v>274</v>
      </c>
    </row>
    <row r="5" spans="2:8" ht="15.75" x14ac:dyDescent="0.2">
      <c r="B5" s="11" t="s">
        <v>164</v>
      </c>
      <c r="C5" s="11" t="s">
        <v>273</v>
      </c>
      <c r="D5" s="12" t="s">
        <v>7</v>
      </c>
      <c r="E5" s="12" t="s">
        <v>275</v>
      </c>
    </row>
    <row r="6" spans="2:8" x14ac:dyDescent="0.2">
      <c r="B6" s="7">
        <v>1</v>
      </c>
      <c r="C6" s="7" t="s">
        <v>6</v>
      </c>
      <c r="D6" s="153" t="s">
        <v>277</v>
      </c>
      <c r="E6" s="8"/>
    </row>
    <row r="7" spans="2:8" x14ac:dyDescent="0.2">
      <c r="B7" s="7">
        <f>B6+1</f>
        <v>2</v>
      </c>
      <c r="C7" s="7" t="s">
        <v>232</v>
      </c>
      <c r="D7" s="153" t="s">
        <v>279</v>
      </c>
      <c r="E7" s="8"/>
    </row>
    <row r="8" spans="2:8" x14ac:dyDescent="0.2">
      <c r="B8" s="7">
        <f>B7+1</f>
        <v>3</v>
      </c>
      <c r="C8" s="7" t="s">
        <v>20</v>
      </c>
      <c r="D8" s="153" t="s">
        <v>280</v>
      </c>
      <c r="E8" s="8"/>
    </row>
    <row r="9" spans="2:8" x14ac:dyDescent="0.2">
      <c r="B9" s="7">
        <f>B8+1</f>
        <v>4</v>
      </c>
      <c r="C9" s="7" t="s">
        <v>21</v>
      </c>
      <c r="D9" s="153" t="s">
        <v>281</v>
      </c>
      <c r="E9" s="8"/>
    </row>
    <row r="10" spans="2:8" x14ac:dyDescent="0.2">
      <c r="B10" s="7">
        <f>B9+1</f>
        <v>5</v>
      </c>
      <c r="C10" s="7" t="s">
        <v>233</v>
      </c>
      <c r="D10" s="153" t="s">
        <v>282</v>
      </c>
      <c r="E10" s="8"/>
    </row>
    <row r="11" spans="2:8" ht="30" x14ac:dyDescent="0.2">
      <c r="B11" s="7">
        <f t="shared" ref="B11:B26" si="0">B10+1</f>
        <v>6</v>
      </c>
      <c r="C11" s="7" t="s">
        <v>18</v>
      </c>
      <c r="D11" s="153" t="s">
        <v>187</v>
      </c>
      <c r="E11" s="8"/>
    </row>
    <row r="12" spans="2:8" ht="30" x14ac:dyDescent="0.2">
      <c r="B12" s="7">
        <f t="shared" si="0"/>
        <v>7</v>
      </c>
      <c r="C12" s="7" t="s">
        <v>23</v>
      </c>
      <c r="D12" s="153" t="s">
        <v>283</v>
      </c>
      <c r="E12" s="8"/>
    </row>
    <row r="13" spans="2:8" x14ac:dyDescent="0.2">
      <c r="B13" s="7">
        <f t="shared" si="0"/>
        <v>8</v>
      </c>
      <c r="C13" s="7" t="s">
        <v>24</v>
      </c>
      <c r="D13" s="9" t="s">
        <v>161</v>
      </c>
      <c r="E13" s="8"/>
    </row>
    <row r="14" spans="2:8" x14ac:dyDescent="0.2">
      <c r="B14" s="7">
        <f t="shared" si="0"/>
        <v>9</v>
      </c>
      <c r="C14" s="7" t="s">
        <v>19</v>
      </c>
      <c r="D14" s="9" t="s">
        <v>284</v>
      </c>
      <c r="E14" s="8"/>
    </row>
    <row r="15" spans="2:8" x14ac:dyDescent="0.2">
      <c r="B15" s="7">
        <f t="shared" si="0"/>
        <v>10</v>
      </c>
      <c r="C15" s="7" t="s">
        <v>25</v>
      </c>
      <c r="D15" s="153" t="s">
        <v>199</v>
      </c>
      <c r="E15" s="8"/>
    </row>
    <row r="16" spans="2:8" x14ac:dyDescent="0.2">
      <c r="B16" s="7">
        <f t="shared" si="0"/>
        <v>11</v>
      </c>
      <c r="C16" s="7" t="s">
        <v>26</v>
      </c>
      <c r="D16" s="9" t="s">
        <v>253</v>
      </c>
      <c r="E16" s="8"/>
    </row>
    <row r="17" spans="2:5" x14ac:dyDescent="0.2">
      <c r="B17" s="7">
        <f t="shared" si="0"/>
        <v>12</v>
      </c>
      <c r="C17" s="7" t="s">
        <v>27</v>
      </c>
      <c r="D17" s="9" t="s">
        <v>200</v>
      </c>
      <c r="E17" s="8"/>
    </row>
    <row r="18" spans="2:5" x14ac:dyDescent="0.2">
      <c r="B18" s="7">
        <f t="shared" si="0"/>
        <v>13</v>
      </c>
      <c r="C18" s="7" t="s">
        <v>28</v>
      </c>
      <c r="D18" s="9" t="s">
        <v>140</v>
      </c>
      <c r="E18" s="8"/>
    </row>
    <row r="19" spans="2:5" x14ac:dyDescent="0.2">
      <c r="B19" s="7">
        <f t="shared" si="0"/>
        <v>14</v>
      </c>
      <c r="C19" s="7" t="s">
        <v>29</v>
      </c>
      <c r="D19" s="9" t="s">
        <v>22</v>
      </c>
      <c r="E19" s="8"/>
    </row>
    <row r="20" spans="2:5" x14ac:dyDescent="0.2">
      <c r="B20" s="7">
        <f t="shared" si="0"/>
        <v>15</v>
      </c>
      <c r="C20" s="7" t="s">
        <v>30</v>
      </c>
      <c r="D20" s="153" t="s">
        <v>285</v>
      </c>
      <c r="E20" s="8"/>
    </row>
    <row r="21" spans="2:5" ht="30" x14ac:dyDescent="0.2">
      <c r="B21" s="7">
        <f t="shared" si="0"/>
        <v>16</v>
      </c>
      <c r="C21" s="7" t="s">
        <v>31</v>
      </c>
      <c r="D21" s="153" t="s">
        <v>286</v>
      </c>
      <c r="E21" s="8"/>
    </row>
    <row r="22" spans="2:5" x14ac:dyDescent="0.2">
      <c r="B22" s="7">
        <f t="shared" si="0"/>
        <v>17</v>
      </c>
      <c r="C22" s="7" t="s">
        <v>141</v>
      </c>
      <c r="D22" s="153" t="s">
        <v>203</v>
      </c>
      <c r="E22" s="8"/>
    </row>
    <row r="23" spans="2:5" x14ac:dyDescent="0.2">
      <c r="B23" s="7">
        <f t="shared" si="0"/>
        <v>18</v>
      </c>
      <c r="C23" s="7" t="s">
        <v>145</v>
      </c>
      <c r="D23" s="153" t="s">
        <v>287</v>
      </c>
      <c r="E23" s="8"/>
    </row>
    <row r="24" spans="2:5" x14ac:dyDescent="0.2">
      <c r="B24" s="7">
        <f t="shared" si="0"/>
        <v>19</v>
      </c>
      <c r="C24" s="7" t="s">
        <v>276</v>
      </c>
      <c r="D24" s="153" t="s">
        <v>194</v>
      </c>
      <c r="E24" s="8"/>
    </row>
    <row r="25" spans="2:5" x14ac:dyDescent="0.2">
      <c r="B25" s="7">
        <f t="shared" si="0"/>
        <v>20</v>
      </c>
      <c r="C25" s="7" t="s">
        <v>188</v>
      </c>
      <c r="D25" s="153" t="s">
        <v>288</v>
      </c>
      <c r="E25" s="8"/>
    </row>
    <row r="26" spans="2:5" x14ac:dyDescent="0.2">
      <c r="B26" s="7">
        <f t="shared" si="0"/>
        <v>21</v>
      </c>
      <c r="C26" s="7" t="s">
        <v>189</v>
      </c>
      <c r="D26" s="9" t="s">
        <v>289</v>
      </c>
      <c r="E26" s="8"/>
    </row>
  </sheetData>
  <mergeCells count="3">
    <mergeCell ref="B1:E1"/>
    <mergeCell ref="B3:E3"/>
    <mergeCell ref="B2:E2"/>
  </mergeCells>
  <phoneticPr fontId="13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8"/>
  <sheetViews>
    <sheetView topLeftCell="A25" zoomScale="93" zoomScaleNormal="93" zoomScaleSheetLayoutView="90" workbookViewId="0">
      <selection activeCell="E34" sqref="E34:E37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23.140625" style="5" customWidth="1"/>
    <col min="4" max="4" width="8.140625" style="5" customWidth="1"/>
    <col min="5" max="5" width="11.28515625" style="5" customWidth="1"/>
    <col min="6" max="6" width="12.42578125" style="5" customWidth="1"/>
    <col min="7" max="7" width="9.5703125" style="5" customWidth="1"/>
    <col min="8" max="8" width="12.285156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.85546875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298</v>
      </c>
      <c r="I2" s="33"/>
    </row>
    <row r="3" spans="2:16" ht="15" x14ac:dyDescent="0.2">
      <c r="H3" s="32" t="str">
        <f>'F1'!$F$3</f>
        <v>Pochampad-II</v>
      </c>
      <c r="I3" s="33"/>
    </row>
    <row r="4" spans="2:16" ht="15" x14ac:dyDescent="0.2">
      <c r="H4" s="35" t="s">
        <v>238</v>
      </c>
      <c r="I4" s="35"/>
    </row>
    <row r="5" spans="2:16" ht="10.5" customHeight="1" x14ac:dyDescent="0.2">
      <c r="K5" s="35"/>
      <c r="N5" s="32" t="s">
        <v>4</v>
      </c>
    </row>
    <row r="6" spans="2:16" ht="7.5" customHeight="1" thickBot="1" x14ac:dyDescent="0.25"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</row>
    <row r="7" spans="2:16" ht="15" x14ac:dyDescent="0.2">
      <c r="B7" s="244" t="s">
        <v>299</v>
      </c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6"/>
    </row>
    <row r="8" spans="2:16" ht="14.25" customHeight="1" x14ac:dyDescent="0.2">
      <c r="B8" s="247" t="s">
        <v>2</v>
      </c>
      <c r="C8" s="249" t="s">
        <v>231</v>
      </c>
      <c r="D8" s="242" t="s">
        <v>220</v>
      </c>
      <c r="E8" s="242" t="s">
        <v>221</v>
      </c>
      <c r="F8" s="242" t="s">
        <v>222</v>
      </c>
      <c r="G8" s="242"/>
      <c r="H8" s="242"/>
      <c r="I8" s="242"/>
      <c r="J8" s="242" t="s">
        <v>223</v>
      </c>
      <c r="K8" s="242"/>
      <c r="L8" s="242"/>
      <c r="M8" s="242"/>
      <c r="N8" s="242" t="s">
        <v>224</v>
      </c>
      <c r="O8" s="243"/>
    </row>
    <row r="9" spans="2:16" ht="60.75" thickBot="1" x14ac:dyDescent="0.25">
      <c r="B9" s="248"/>
      <c r="C9" s="250"/>
      <c r="D9" s="251"/>
      <c r="E9" s="251"/>
      <c r="F9" s="64" t="s">
        <v>225</v>
      </c>
      <c r="G9" s="64" t="s">
        <v>122</v>
      </c>
      <c r="H9" s="64" t="s">
        <v>226</v>
      </c>
      <c r="I9" s="64" t="s">
        <v>227</v>
      </c>
      <c r="J9" s="167" t="s">
        <v>228</v>
      </c>
      <c r="K9" s="167" t="s">
        <v>122</v>
      </c>
      <c r="L9" s="64" t="s">
        <v>229</v>
      </c>
      <c r="M9" s="64" t="s">
        <v>230</v>
      </c>
      <c r="N9" s="64" t="s">
        <v>225</v>
      </c>
      <c r="O9" s="65" t="s">
        <v>227</v>
      </c>
    </row>
    <row r="10" spans="2:16" ht="15" x14ac:dyDescent="0.2">
      <c r="B10" s="164">
        <v>1</v>
      </c>
      <c r="C10" s="168" t="s">
        <v>330</v>
      </c>
      <c r="D10" s="165">
        <v>1100</v>
      </c>
      <c r="E10" s="135">
        <v>0</v>
      </c>
      <c r="F10" s="169">
        <v>0.39882440000000002</v>
      </c>
      <c r="G10" s="137"/>
      <c r="H10" s="137"/>
      <c r="I10" s="136">
        <f>F10+G10+H10</f>
        <v>0.39882440000000002</v>
      </c>
      <c r="J10" s="169">
        <v>0.142653793</v>
      </c>
      <c r="K10" s="169">
        <v>1.3108373999999999E-2</v>
      </c>
      <c r="L10" s="137"/>
      <c r="M10" s="136">
        <f>J10+K10+L10</f>
        <v>0.15576216700000001</v>
      </c>
      <c r="N10" s="137">
        <f>+F10-J10</f>
        <v>0.25617060700000005</v>
      </c>
      <c r="O10" s="137">
        <f>+I10-M10</f>
        <v>0.24306223300000002</v>
      </c>
    </row>
    <row r="11" spans="2:16" ht="15" x14ac:dyDescent="0.2">
      <c r="B11" s="164">
        <v>2</v>
      </c>
      <c r="C11" s="168" t="s">
        <v>331</v>
      </c>
      <c r="D11" s="165">
        <v>1300</v>
      </c>
      <c r="E11" s="135"/>
      <c r="F11" s="169">
        <v>3.2694990000000002</v>
      </c>
      <c r="G11" s="137"/>
      <c r="H11" s="137"/>
      <c r="I11" s="136">
        <f t="shared" ref="I11:I15" si="0">F11+G11+H11</f>
        <v>3.2694990000000002</v>
      </c>
      <c r="J11" s="169">
        <v>1.789396907</v>
      </c>
      <c r="K11" s="169">
        <v>4.3515177000000002E-2</v>
      </c>
      <c r="L11" s="137"/>
      <c r="M11" s="136">
        <f t="shared" ref="M11:M15" si="1">J11+K11+L11</f>
        <v>1.8329120839999999</v>
      </c>
      <c r="N11" s="137">
        <f t="shared" ref="N11:N15" si="2">+F11-J11</f>
        <v>1.4801020930000002</v>
      </c>
      <c r="O11" s="137">
        <f t="shared" ref="O11:O15" si="3">+I11-M11</f>
        <v>1.4365869160000002</v>
      </c>
    </row>
    <row r="12" spans="2:16" ht="15" x14ac:dyDescent="0.2">
      <c r="B12" s="164">
        <v>3</v>
      </c>
      <c r="C12" s="168" t="s">
        <v>332</v>
      </c>
      <c r="D12" s="165">
        <v>1500</v>
      </c>
      <c r="E12" s="138"/>
      <c r="F12" s="169">
        <v>25.662737447999998</v>
      </c>
      <c r="G12" s="137"/>
      <c r="H12" s="137"/>
      <c r="I12" s="136">
        <f t="shared" si="0"/>
        <v>25.662737447999998</v>
      </c>
      <c r="J12" s="169">
        <v>9.5470204829999989</v>
      </c>
      <c r="K12" s="169">
        <v>0.43251872599999996</v>
      </c>
      <c r="L12" s="137"/>
      <c r="M12" s="136">
        <f t="shared" si="1"/>
        <v>9.9795392089999986</v>
      </c>
      <c r="N12" s="137">
        <f t="shared" si="2"/>
        <v>16.115716964999997</v>
      </c>
      <c r="O12" s="137">
        <f t="shared" si="3"/>
        <v>15.683198238999999</v>
      </c>
    </row>
    <row r="13" spans="2:16" ht="15" x14ac:dyDescent="0.2">
      <c r="B13" s="164">
        <v>4</v>
      </c>
      <c r="C13" s="168" t="s">
        <v>333</v>
      </c>
      <c r="D13" s="165">
        <v>1800</v>
      </c>
      <c r="E13" s="138"/>
      <c r="F13" s="169">
        <v>0.102939352</v>
      </c>
      <c r="G13" s="137"/>
      <c r="H13" s="137"/>
      <c r="I13" s="136">
        <f t="shared" si="0"/>
        <v>0.102939352</v>
      </c>
      <c r="J13" s="169">
        <v>4.1596759000000004E-2</v>
      </c>
      <c r="K13" s="169">
        <v>1.0943814999999999E-2</v>
      </c>
      <c r="L13" s="137"/>
      <c r="M13" s="136">
        <f t="shared" si="1"/>
        <v>5.2540574000000007E-2</v>
      </c>
      <c r="N13" s="137">
        <f t="shared" si="2"/>
        <v>6.1342592999999994E-2</v>
      </c>
      <c r="O13" s="137">
        <f t="shared" si="3"/>
        <v>5.0398777999999991E-2</v>
      </c>
    </row>
    <row r="14" spans="2:16" ht="15" x14ac:dyDescent="0.2">
      <c r="B14" s="164">
        <v>5</v>
      </c>
      <c r="C14" s="168" t="s">
        <v>303</v>
      </c>
      <c r="D14" s="170">
        <v>1900</v>
      </c>
      <c r="E14" s="138"/>
      <c r="F14" s="171">
        <v>0.262952672</v>
      </c>
      <c r="G14" s="137"/>
      <c r="H14" s="137"/>
      <c r="I14" s="136">
        <f>F14+G14+H14</f>
        <v>0.262952672</v>
      </c>
      <c r="J14" s="174">
        <v>0.15803191599999999</v>
      </c>
      <c r="K14" s="174">
        <v>5.3741485999999998E-2</v>
      </c>
      <c r="L14" s="137"/>
      <c r="M14" s="136">
        <f t="shared" si="1"/>
        <v>0.211773402</v>
      </c>
      <c r="N14" s="137">
        <f t="shared" si="2"/>
        <v>0.104920756</v>
      </c>
      <c r="O14" s="137">
        <f t="shared" si="3"/>
        <v>5.1179269999999999E-2</v>
      </c>
      <c r="P14" s="154"/>
    </row>
    <row r="15" spans="2:16" ht="15" x14ac:dyDescent="0.2">
      <c r="B15" s="164">
        <v>6</v>
      </c>
      <c r="C15" s="168" t="s">
        <v>334</v>
      </c>
      <c r="D15" s="165">
        <v>2100</v>
      </c>
      <c r="E15" s="138"/>
      <c r="F15" s="169">
        <v>4.3047128000000004E-2</v>
      </c>
      <c r="G15" s="137"/>
      <c r="H15" s="137"/>
      <c r="I15" s="136">
        <f t="shared" si="0"/>
        <v>4.3047128000000004E-2</v>
      </c>
      <c r="J15" s="169">
        <v>1.1300141999999999E-2</v>
      </c>
      <c r="K15" s="169">
        <v>2.6172422000000001E-2</v>
      </c>
      <c r="L15" s="137"/>
      <c r="M15" s="136">
        <f t="shared" si="1"/>
        <v>3.7472564E-2</v>
      </c>
      <c r="N15" s="137">
        <f t="shared" si="2"/>
        <v>3.1746986000000005E-2</v>
      </c>
      <c r="O15" s="137">
        <f t="shared" si="3"/>
        <v>5.5745640000000041E-3</v>
      </c>
    </row>
    <row r="16" spans="2:16" s="48" customFormat="1" ht="15.75" thickBot="1" x14ac:dyDescent="0.25">
      <c r="B16" s="151"/>
      <c r="C16" s="152" t="s">
        <v>123</v>
      </c>
      <c r="D16" s="152"/>
      <c r="E16" s="149">
        <f>IFERROR((K16-L16)/AVERAGE(F16,I16),0)</f>
        <v>1.9502353732347006E-2</v>
      </c>
      <c r="F16" s="148">
        <f>ROUND(SUM(F10:F15),2)</f>
        <v>29.74</v>
      </c>
      <c r="G16" s="148">
        <f t="shared" ref="G16:O16" si="4">ROUND(SUM(G10:G15),2)</f>
        <v>0</v>
      </c>
      <c r="H16" s="148">
        <f t="shared" si="4"/>
        <v>0</v>
      </c>
      <c r="I16" s="148">
        <f t="shared" si="4"/>
        <v>29.74</v>
      </c>
      <c r="J16" s="148">
        <f t="shared" si="4"/>
        <v>11.69</v>
      </c>
      <c r="K16" s="148">
        <f t="shared" si="4"/>
        <v>0.57999999999999996</v>
      </c>
      <c r="L16" s="148">
        <f t="shared" si="4"/>
        <v>0</v>
      </c>
      <c r="M16" s="148">
        <f t="shared" si="4"/>
        <v>12.27</v>
      </c>
      <c r="N16" s="148">
        <f t="shared" si="4"/>
        <v>18.05</v>
      </c>
      <c r="O16" s="148">
        <f t="shared" si="4"/>
        <v>17.47</v>
      </c>
    </row>
    <row r="17" spans="2:16" ht="15" thickBot="1" x14ac:dyDescent="0.25"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</row>
    <row r="18" spans="2:16" ht="15" x14ac:dyDescent="0.2">
      <c r="B18" s="244" t="s">
        <v>300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6"/>
    </row>
    <row r="19" spans="2:16" ht="15" x14ac:dyDescent="0.2">
      <c r="B19" s="247" t="s">
        <v>2</v>
      </c>
      <c r="C19" s="249" t="s">
        <v>231</v>
      </c>
      <c r="D19" s="242" t="s">
        <v>220</v>
      </c>
      <c r="E19" s="242" t="s">
        <v>221</v>
      </c>
      <c r="F19" s="242" t="s">
        <v>222</v>
      </c>
      <c r="G19" s="242"/>
      <c r="H19" s="242"/>
      <c r="I19" s="242"/>
      <c r="J19" s="242" t="s">
        <v>223</v>
      </c>
      <c r="K19" s="242"/>
      <c r="L19" s="242"/>
      <c r="M19" s="242"/>
      <c r="N19" s="242" t="s">
        <v>224</v>
      </c>
      <c r="O19" s="243"/>
    </row>
    <row r="20" spans="2:16" ht="60.75" thickBot="1" x14ac:dyDescent="0.25">
      <c r="B20" s="248"/>
      <c r="C20" s="250"/>
      <c r="D20" s="251"/>
      <c r="E20" s="251"/>
      <c r="F20" s="64" t="s">
        <v>225</v>
      </c>
      <c r="G20" s="64" t="s">
        <v>122</v>
      </c>
      <c r="H20" s="64" t="s">
        <v>226</v>
      </c>
      <c r="I20" s="64" t="s">
        <v>227</v>
      </c>
      <c r="J20" s="64" t="s">
        <v>228</v>
      </c>
      <c r="K20" s="167" t="s">
        <v>122</v>
      </c>
      <c r="L20" s="64" t="s">
        <v>229</v>
      </c>
      <c r="M20" s="64" t="s">
        <v>230</v>
      </c>
      <c r="N20" s="64" t="s">
        <v>225</v>
      </c>
      <c r="O20" s="65" t="s">
        <v>227</v>
      </c>
    </row>
    <row r="21" spans="2:16" ht="15" x14ac:dyDescent="0.2">
      <c r="B21" s="164">
        <v>1</v>
      </c>
      <c r="C21" s="168" t="s">
        <v>330</v>
      </c>
      <c r="D21" s="165">
        <v>1100</v>
      </c>
      <c r="E21" s="135">
        <v>0</v>
      </c>
      <c r="F21" s="137">
        <f t="shared" ref="F21:F26" si="5">I10</f>
        <v>0.39882440000000002</v>
      </c>
      <c r="G21" s="137"/>
      <c r="H21" s="137"/>
      <c r="I21" s="136">
        <f>F21+G21+H21</f>
        <v>0.39882440000000002</v>
      </c>
      <c r="J21" s="137">
        <f t="shared" ref="J21:J26" si="6">M10</f>
        <v>0.15576216700000001</v>
      </c>
      <c r="K21" s="169">
        <v>1.3108373999999999E-2</v>
      </c>
      <c r="L21" s="137"/>
      <c r="M21" s="136">
        <f>J21+K21+L21</f>
        <v>0.16887054100000001</v>
      </c>
      <c r="N21" s="137">
        <f>+F21-J21</f>
        <v>0.24306223300000002</v>
      </c>
      <c r="O21" s="137">
        <f>+I21-M21</f>
        <v>0.22995385900000001</v>
      </c>
    </row>
    <row r="22" spans="2:16" ht="15" x14ac:dyDescent="0.2">
      <c r="B22" s="164">
        <v>2</v>
      </c>
      <c r="C22" s="168" t="s">
        <v>331</v>
      </c>
      <c r="D22" s="165">
        <v>1300</v>
      </c>
      <c r="E22" s="135"/>
      <c r="F22" s="137">
        <f t="shared" si="5"/>
        <v>3.2694990000000002</v>
      </c>
      <c r="G22" s="137"/>
      <c r="H22" s="137"/>
      <c r="I22" s="136">
        <f t="shared" ref="I22:I26" si="7">F22+G22+H22</f>
        <v>3.2694990000000002</v>
      </c>
      <c r="J22" s="137">
        <f t="shared" si="6"/>
        <v>1.8329120839999999</v>
      </c>
      <c r="K22" s="169">
        <v>4.3515177000000002E-2</v>
      </c>
      <c r="L22" s="137"/>
      <c r="M22" s="136">
        <f t="shared" ref="M22:M26" si="8">J22+K22+L22</f>
        <v>1.8764272609999999</v>
      </c>
      <c r="N22" s="137">
        <f t="shared" ref="N22:N26" si="9">+F22-J22</f>
        <v>1.4365869160000002</v>
      </c>
      <c r="O22" s="137">
        <f t="shared" ref="O22:O26" si="10">+I22-M22</f>
        <v>1.3930717390000003</v>
      </c>
    </row>
    <row r="23" spans="2:16" ht="15" x14ac:dyDescent="0.2">
      <c r="B23" s="164">
        <v>3</v>
      </c>
      <c r="C23" s="168" t="s">
        <v>332</v>
      </c>
      <c r="D23" s="165">
        <v>1500</v>
      </c>
      <c r="E23" s="138"/>
      <c r="F23" s="137">
        <f t="shared" si="5"/>
        <v>25.662737447999998</v>
      </c>
      <c r="G23" s="137"/>
      <c r="H23" s="137"/>
      <c r="I23" s="136">
        <f t="shared" si="7"/>
        <v>25.662737447999998</v>
      </c>
      <c r="J23" s="137">
        <f t="shared" si="6"/>
        <v>9.9795392089999986</v>
      </c>
      <c r="K23" s="169">
        <v>0.43251872599999996</v>
      </c>
      <c r="L23" s="137"/>
      <c r="M23" s="136">
        <f t="shared" si="8"/>
        <v>10.412057934999998</v>
      </c>
      <c r="N23" s="137">
        <f t="shared" si="9"/>
        <v>15.683198238999999</v>
      </c>
      <c r="O23" s="137">
        <f t="shared" si="10"/>
        <v>15.250679513</v>
      </c>
    </row>
    <row r="24" spans="2:16" ht="15" x14ac:dyDescent="0.2">
      <c r="B24" s="164">
        <v>4</v>
      </c>
      <c r="C24" s="168" t="s">
        <v>333</v>
      </c>
      <c r="D24" s="165">
        <v>1800</v>
      </c>
      <c r="E24" s="138"/>
      <c r="F24" s="137">
        <f t="shared" si="5"/>
        <v>0.102939352</v>
      </c>
      <c r="G24" s="137"/>
      <c r="H24" s="137"/>
      <c r="I24" s="136">
        <f t="shared" si="7"/>
        <v>0.102939352</v>
      </c>
      <c r="J24" s="137">
        <f t="shared" si="6"/>
        <v>5.2540574000000007E-2</v>
      </c>
      <c r="K24" s="169">
        <v>1.0943814999999999E-2</v>
      </c>
      <c r="L24" s="137"/>
      <c r="M24" s="136">
        <f t="shared" si="8"/>
        <v>6.3484389000000002E-2</v>
      </c>
      <c r="N24" s="137">
        <f t="shared" si="9"/>
        <v>5.0398777999999991E-2</v>
      </c>
      <c r="O24" s="137">
        <f t="shared" si="10"/>
        <v>3.9454962999999996E-2</v>
      </c>
    </row>
    <row r="25" spans="2:16" ht="15" x14ac:dyDescent="0.2">
      <c r="B25" s="164">
        <v>5</v>
      </c>
      <c r="C25" s="168" t="s">
        <v>303</v>
      </c>
      <c r="D25" s="170">
        <v>1900</v>
      </c>
      <c r="E25" s="138"/>
      <c r="F25" s="137">
        <f t="shared" si="5"/>
        <v>0.262952672</v>
      </c>
      <c r="G25" s="137"/>
      <c r="H25" s="137"/>
      <c r="I25" s="136">
        <f t="shared" si="7"/>
        <v>0.262952672</v>
      </c>
      <c r="J25" s="137">
        <f t="shared" si="6"/>
        <v>0.211773402</v>
      </c>
      <c r="K25" s="169">
        <v>5.3741485999999998E-2</v>
      </c>
      <c r="L25" s="137"/>
      <c r="M25" s="136">
        <f t="shared" si="8"/>
        <v>0.265514888</v>
      </c>
      <c r="N25" s="137">
        <f t="shared" si="9"/>
        <v>5.1179269999999999E-2</v>
      </c>
      <c r="O25" s="137">
        <f t="shared" si="10"/>
        <v>-2.562216000000006E-3</v>
      </c>
    </row>
    <row r="26" spans="2:16" ht="15" x14ac:dyDescent="0.2">
      <c r="B26" s="164">
        <v>6</v>
      </c>
      <c r="C26" s="168" t="s">
        <v>334</v>
      </c>
      <c r="D26" s="165">
        <v>2100</v>
      </c>
      <c r="E26" s="138"/>
      <c r="F26" s="137">
        <f t="shared" si="5"/>
        <v>4.3047128000000004E-2</v>
      </c>
      <c r="G26" s="137"/>
      <c r="H26" s="137"/>
      <c r="I26" s="136">
        <f t="shared" si="7"/>
        <v>4.3047128000000004E-2</v>
      </c>
      <c r="J26" s="137">
        <f t="shared" si="6"/>
        <v>3.7472564E-2</v>
      </c>
      <c r="K26" s="169">
        <v>2.6172422000000001E-2</v>
      </c>
      <c r="L26" s="137"/>
      <c r="M26" s="136">
        <f t="shared" si="8"/>
        <v>6.3644986000000001E-2</v>
      </c>
      <c r="N26" s="137">
        <f t="shared" si="9"/>
        <v>5.5745640000000041E-3</v>
      </c>
      <c r="O26" s="137">
        <f t="shared" si="10"/>
        <v>-2.0597857999999997E-2</v>
      </c>
    </row>
    <row r="27" spans="2:16" s="48" customFormat="1" ht="15.75" thickBot="1" x14ac:dyDescent="0.25">
      <c r="B27" s="151"/>
      <c r="C27" s="152" t="s">
        <v>123</v>
      </c>
      <c r="D27" s="152"/>
      <c r="E27" s="149">
        <f>IFERROR((K27-L27)/AVERAGE(F27,I27),0)</f>
        <v>1.9502353732347006E-2</v>
      </c>
      <c r="F27" s="148">
        <f>ROUND(SUM(F21:F26),2)</f>
        <v>29.74</v>
      </c>
      <c r="G27" s="148">
        <f t="shared" ref="G27:O27" si="11">ROUND(SUM(G21:G26),2)</f>
        <v>0</v>
      </c>
      <c r="H27" s="148">
        <f t="shared" si="11"/>
        <v>0</v>
      </c>
      <c r="I27" s="148">
        <f t="shared" si="11"/>
        <v>29.74</v>
      </c>
      <c r="J27" s="148">
        <f t="shared" si="11"/>
        <v>12.27</v>
      </c>
      <c r="K27" s="148">
        <f t="shared" si="11"/>
        <v>0.57999999999999996</v>
      </c>
      <c r="L27" s="148">
        <f t="shared" si="11"/>
        <v>0</v>
      </c>
      <c r="M27" s="148">
        <f t="shared" si="11"/>
        <v>12.85</v>
      </c>
      <c r="N27" s="148">
        <f t="shared" si="11"/>
        <v>17.47</v>
      </c>
      <c r="O27" s="148">
        <f t="shared" si="11"/>
        <v>16.89</v>
      </c>
    </row>
    <row r="28" spans="2:16" ht="15" thickBot="1" x14ac:dyDescent="0.25">
      <c r="K28" s="150"/>
    </row>
    <row r="29" spans="2:16" ht="15" x14ac:dyDescent="0.2">
      <c r="B29" s="244" t="s">
        <v>327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6"/>
    </row>
    <row r="30" spans="2:16" ht="15" x14ac:dyDescent="0.2">
      <c r="B30" s="247" t="s">
        <v>2</v>
      </c>
      <c r="C30" s="249" t="s">
        <v>231</v>
      </c>
      <c r="D30" s="242" t="s">
        <v>220</v>
      </c>
      <c r="E30" s="242" t="s">
        <v>221</v>
      </c>
      <c r="F30" s="242" t="s">
        <v>222</v>
      </c>
      <c r="G30" s="242"/>
      <c r="H30" s="242"/>
      <c r="I30" s="242"/>
      <c r="J30" s="242" t="s">
        <v>223</v>
      </c>
      <c r="K30" s="242"/>
      <c r="L30" s="242"/>
      <c r="M30" s="242"/>
      <c r="N30" s="242" t="s">
        <v>224</v>
      </c>
      <c r="O30" s="243"/>
    </row>
    <row r="31" spans="2:16" ht="60.75" thickBot="1" x14ac:dyDescent="0.25">
      <c r="B31" s="248"/>
      <c r="C31" s="250"/>
      <c r="D31" s="251"/>
      <c r="E31" s="251"/>
      <c r="F31" s="64" t="s">
        <v>225</v>
      </c>
      <c r="G31" s="64" t="s">
        <v>122</v>
      </c>
      <c r="H31" s="64" t="s">
        <v>226</v>
      </c>
      <c r="I31" s="64" t="s">
        <v>227</v>
      </c>
      <c r="J31" s="64" t="s">
        <v>228</v>
      </c>
      <c r="K31" s="167" t="s">
        <v>122</v>
      </c>
      <c r="L31" s="64" t="s">
        <v>229</v>
      </c>
      <c r="M31" s="64" t="s">
        <v>230</v>
      </c>
      <c r="N31" s="64" t="s">
        <v>225</v>
      </c>
      <c r="O31" s="65" t="s">
        <v>227</v>
      </c>
    </row>
    <row r="32" spans="2:16" ht="15" x14ac:dyDescent="0.2">
      <c r="B32" s="164">
        <v>1</v>
      </c>
      <c r="C32" s="168" t="s">
        <v>330</v>
      </c>
      <c r="D32" s="165">
        <v>1100</v>
      </c>
      <c r="E32" s="135">
        <v>0</v>
      </c>
      <c r="F32" s="137">
        <f t="shared" ref="F32:F37" si="12">I21</f>
        <v>0.39882440000000002</v>
      </c>
      <c r="G32" s="137"/>
      <c r="H32" s="137"/>
      <c r="I32" s="136">
        <f>F32+G32+H32</f>
        <v>0.39882440000000002</v>
      </c>
      <c r="J32" s="137">
        <f t="shared" ref="J32:J37" si="13">M21</f>
        <v>0.16887054100000001</v>
      </c>
      <c r="K32" s="169">
        <v>1.3108373999999999E-2</v>
      </c>
      <c r="L32" s="137"/>
      <c r="M32" s="136">
        <f>J32+K32+L32</f>
        <v>0.18197891500000002</v>
      </c>
      <c r="N32" s="137">
        <f>+F32-J32</f>
        <v>0.22995385900000001</v>
      </c>
      <c r="O32" s="137">
        <f>+I32-M32</f>
        <v>0.216845485</v>
      </c>
    </row>
    <row r="33" spans="2:15" ht="15" x14ac:dyDescent="0.2">
      <c r="B33" s="164">
        <v>2</v>
      </c>
      <c r="C33" s="168" t="s">
        <v>331</v>
      </c>
      <c r="D33" s="165">
        <v>1300</v>
      </c>
      <c r="E33" s="135"/>
      <c r="F33" s="137">
        <f t="shared" si="12"/>
        <v>3.2694990000000002</v>
      </c>
      <c r="G33" s="137"/>
      <c r="H33" s="137"/>
      <c r="I33" s="136">
        <f t="shared" ref="I33:I37" si="14">F33+G33+H33</f>
        <v>3.2694990000000002</v>
      </c>
      <c r="J33" s="137">
        <f t="shared" si="13"/>
        <v>1.8764272609999999</v>
      </c>
      <c r="K33" s="169">
        <v>4.3515177000000002E-2</v>
      </c>
      <c r="L33" s="137"/>
      <c r="M33" s="136">
        <f t="shared" ref="M33:M37" si="15">J33+K33+L33</f>
        <v>1.9199424379999999</v>
      </c>
      <c r="N33" s="137">
        <f t="shared" ref="N33:N37" si="16">+F33-J33</f>
        <v>1.3930717390000003</v>
      </c>
      <c r="O33" s="137">
        <f t="shared" ref="O33:O37" si="17">+I33-M33</f>
        <v>1.3495565620000003</v>
      </c>
    </row>
    <row r="34" spans="2:15" ht="15" x14ac:dyDescent="0.2">
      <c r="B34" s="164">
        <v>3</v>
      </c>
      <c r="C34" s="168" t="s">
        <v>332</v>
      </c>
      <c r="D34" s="165">
        <v>1500</v>
      </c>
      <c r="E34" s="138"/>
      <c r="F34" s="137">
        <f t="shared" si="12"/>
        <v>25.662737447999998</v>
      </c>
      <c r="G34" s="137"/>
      <c r="H34" s="137"/>
      <c r="I34" s="136">
        <f t="shared" si="14"/>
        <v>25.662737447999998</v>
      </c>
      <c r="J34" s="137">
        <f t="shared" si="13"/>
        <v>10.412057934999998</v>
      </c>
      <c r="K34" s="169">
        <v>0.43251872599999996</v>
      </c>
      <c r="L34" s="137"/>
      <c r="M34" s="136">
        <f t="shared" si="15"/>
        <v>10.844576660999998</v>
      </c>
      <c r="N34" s="137">
        <f t="shared" si="16"/>
        <v>15.250679513</v>
      </c>
      <c r="O34" s="137">
        <f t="shared" si="17"/>
        <v>14.818160787</v>
      </c>
    </row>
    <row r="35" spans="2:15" ht="15" x14ac:dyDescent="0.2">
      <c r="B35" s="164">
        <v>4</v>
      </c>
      <c r="C35" s="168" t="s">
        <v>333</v>
      </c>
      <c r="D35" s="165">
        <v>1800</v>
      </c>
      <c r="E35" s="138"/>
      <c r="F35" s="137">
        <f t="shared" si="12"/>
        <v>0.102939352</v>
      </c>
      <c r="G35" s="137"/>
      <c r="H35" s="137"/>
      <c r="I35" s="136">
        <f t="shared" si="14"/>
        <v>0.102939352</v>
      </c>
      <c r="J35" s="137">
        <f t="shared" si="13"/>
        <v>6.3484389000000002E-2</v>
      </c>
      <c r="K35" s="169">
        <v>1.0943814999999999E-2</v>
      </c>
      <c r="L35" s="137"/>
      <c r="M35" s="136">
        <f t="shared" si="15"/>
        <v>7.4428203999999998E-2</v>
      </c>
      <c r="N35" s="137">
        <f t="shared" si="16"/>
        <v>3.9454962999999996E-2</v>
      </c>
      <c r="O35" s="137">
        <f t="shared" si="17"/>
        <v>2.8511148E-2</v>
      </c>
    </row>
    <row r="36" spans="2:15" ht="15" x14ac:dyDescent="0.2">
      <c r="B36" s="164">
        <v>5</v>
      </c>
      <c r="C36" s="168" t="s">
        <v>303</v>
      </c>
      <c r="D36" s="170">
        <v>1900</v>
      </c>
      <c r="E36" s="138"/>
      <c r="F36" s="137">
        <f t="shared" si="12"/>
        <v>0.262952672</v>
      </c>
      <c r="G36" s="137"/>
      <c r="H36" s="137"/>
      <c r="I36" s="136">
        <f t="shared" si="14"/>
        <v>0.262952672</v>
      </c>
      <c r="J36" s="137">
        <f t="shared" si="13"/>
        <v>0.265514888</v>
      </c>
      <c r="K36" s="169">
        <v>5.3741485999999998E-2</v>
      </c>
      <c r="L36" s="137"/>
      <c r="M36" s="136">
        <f t="shared" si="15"/>
        <v>0.31925637400000001</v>
      </c>
      <c r="N36" s="137">
        <f t="shared" si="16"/>
        <v>-2.562216000000006E-3</v>
      </c>
      <c r="O36" s="137">
        <f t="shared" si="17"/>
        <v>-5.6303702000000011E-2</v>
      </c>
    </row>
    <row r="37" spans="2:15" ht="15" x14ac:dyDescent="0.2">
      <c r="B37" s="164">
        <v>6</v>
      </c>
      <c r="C37" s="168" t="s">
        <v>334</v>
      </c>
      <c r="D37" s="165">
        <v>2100</v>
      </c>
      <c r="E37" s="138"/>
      <c r="F37" s="137">
        <f t="shared" si="12"/>
        <v>4.3047128000000004E-2</v>
      </c>
      <c r="G37" s="137"/>
      <c r="H37" s="137"/>
      <c r="I37" s="136">
        <f t="shared" si="14"/>
        <v>4.3047128000000004E-2</v>
      </c>
      <c r="J37" s="137">
        <f t="shared" si="13"/>
        <v>6.3644986000000001E-2</v>
      </c>
      <c r="K37" s="169">
        <v>2.6172422000000001E-2</v>
      </c>
      <c r="L37" s="137"/>
      <c r="M37" s="136">
        <f t="shared" si="15"/>
        <v>8.9817408000000001E-2</v>
      </c>
      <c r="N37" s="137">
        <f t="shared" si="16"/>
        <v>-2.0597857999999997E-2</v>
      </c>
      <c r="O37" s="137">
        <f t="shared" si="17"/>
        <v>-4.6770279999999997E-2</v>
      </c>
    </row>
    <row r="38" spans="2:15" s="48" customFormat="1" ht="15.75" thickBot="1" x14ac:dyDescent="0.25">
      <c r="B38" s="151"/>
      <c r="C38" s="152" t="s">
        <v>123</v>
      </c>
      <c r="D38" s="152"/>
      <c r="E38" s="149">
        <f>IFERROR((K38-L38)/AVERAGE(F38,I38),0)</f>
        <v>1.9502353732347006E-2</v>
      </c>
      <c r="F38" s="148">
        <f>ROUND(SUM(F32:F37),2)</f>
        <v>29.74</v>
      </c>
      <c r="G38" s="148">
        <f t="shared" ref="G38:O38" si="18">ROUND(SUM(G32:G37),2)</f>
        <v>0</v>
      </c>
      <c r="H38" s="148">
        <f t="shared" si="18"/>
        <v>0</v>
      </c>
      <c r="I38" s="148">
        <f t="shared" si="18"/>
        <v>29.74</v>
      </c>
      <c r="J38" s="148">
        <f t="shared" si="18"/>
        <v>12.85</v>
      </c>
      <c r="K38" s="148">
        <f t="shared" si="18"/>
        <v>0.57999999999999996</v>
      </c>
      <c r="L38" s="148">
        <f t="shared" si="18"/>
        <v>0</v>
      </c>
      <c r="M38" s="148">
        <f t="shared" si="18"/>
        <v>13.43</v>
      </c>
      <c r="N38" s="148">
        <f t="shared" si="18"/>
        <v>16.89</v>
      </c>
      <c r="O38" s="148">
        <f t="shared" si="18"/>
        <v>16.309999999999999</v>
      </c>
    </row>
  </sheetData>
  <mergeCells count="24">
    <mergeCell ref="B29:O29"/>
    <mergeCell ref="B30:B31"/>
    <mergeCell ref="C30:C31"/>
    <mergeCell ref="D30:D31"/>
    <mergeCell ref="E30:E31"/>
    <mergeCell ref="F30:I30"/>
    <mergeCell ref="J30:M30"/>
    <mergeCell ref="N30:O30"/>
    <mergeCell ref="B18:O18"/>
    <mergeCell ref="B19:B20"/>
    <mergeCell ref="C19:C20"/>
    <mergeCell ref="D19:D20"/>
    <mergeCell ref="E19:E20"/>
    <mergeCell ref="F19:I19"/>
    <mergeCell ref="J19:M19"/>
    <mergeCell ref="N19:O19"/>
    <mergeCell ref="J8:M8"/>
    <mergeCell ref="N8:O8"/>
    <mergeCell ref="B7:O7"/>
    <mergeCell ref="B8:B9"/>
    <mergeCell ref="C8:C9"/>
    <mergeCell ref="D8:D9"/>
    <mergeCell ref="E8:E9"/>
    <mergeCell ref="F8:I8"/>
  </mergeCells>
  <pageMargins left="0.27" right="0.25" top="0.25" bottom="0.25" header="0.25" footer="0.25"/>
  <pageSetup paperSize="9" scale="86" fitToHeight="0" orientation="landscape" r:id="rId1"/>
  <headerFooter alignWithMargins="0"/>
  <rowBreaks count="1" manualBreakCount="1">
    <brk id="1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zoomScale="98" zoomScaleNormal="98" zoomScaleSheetLayoutView="90" workbookViewId="0">
      <selection activeCell="H25" sqref="H25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1.5703125" style="5" customWidth="1"/>
    <col min="5" max="5" width="11" style="5" customWidth="1"/>
    <col min="6" max="6" width="13.42578125" style="5" bestFit="1" customWidth="1"/>
    <col min="7" max="7" width="12.5703125" style="5" customWidth="1"/>
    <col min="8" max="9" width="11.5703125" style="5" customWidth="1"/>
    <col min="10" max="10" width="10.425781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E2" s="32" t="s">
        <v>298</v>
      </c>
    </row>
    <row r="3" spans="2:10" ht="15" x14ac:dyDescent="0.2">
      <c r="E3" s="32" t="str">
        <f>'F1'!$F$3</f>
        <v>Pochampad-II</v>
      </c>
    </row>
    <row r="4" spans="2:10" ht="15" x14ac:dyDescent="0.2">
      <c r="E4" s="35" t="s">
        <v>240</v>
      </c>
    </row>
    <row r="5" spans="2:10" ht="15" x14ac:dyDescent="0.2">
      <c r="B5" s="33" t="s">
        <v>41</v>
      </c>
      <c r="C5" s="24" t="s">
        <v>241</v>
      </c>
      <c r="J5" s="26" t="s">
        <v>4</v>
      </c>
    </row>
    <row r="6" spans="2:10" s="13" customFormat="1" ht="15" customHeight="1" x14ac:dyDescent="0.2">
      <c r="B6" s="224" t="s">
        <v>164</v>
      </c>
      <c r="C6" s="227" t="s">
        <v>14</v>
      </c>
      <c r="D6" s="231" t="s">
        <v>299</v>
      </c>
      <c r="E6" s="232"/>
      <c r="F6" s="233"/>
      <c r="G6" s="229" t="s">
        <v>300</v>
      </c>
      <c r="H6" s="229"/>
      <c r="I6" s="252" t="s">
        <v>327</v>
      </c>
      <c r="J6" s="253"/>
    </row>
    <row r="7" spans="2:10" s="13" customFormat="1" ht="45" x14ac:dyDescent="0.2">
      <c r="B7" s="225"/>
      <c r="C7" s="22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6"/>
      <c r="C8" s="22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323</v>
      </c>
      <c r="I8" s="15" t="s">
        <v>10</v>
      </c>
      <c r="J8" s="15" t="s">
        <v>323</v>
      </c>
    </row>
    <row r="9" spans="2:10" x14ac:dyDescent="0.2">
      <c r="B9" s="61">
        <v>1</v>
      </c>
      <c r="C9" s="27" t="s">
        <v>148</v>
      </c>
      <c r="D9" s="116"/>
      <c r="E9" s="114">
        <f>'F4'!F16*70%</f>
        <v>20.817999999999998</v>
      </c>
      <c r="F9" s="114">
        <f>E9</f>
        <v>20.817999999999998</v>
      </c>
      <c r="G9" s="118"/>
      <c r="H9" s="119">
        <f>E9+E13</f>
        <v>20.817999999999998</v>
      </c>
      <c r="I9" s="118"/>
      <c r="J9" s="119">
        <f>H9+H13</f>
        <v>20.817999999999998</v>
      </c>
    </row>
    <row r="10" spans="2:10" x14ac:dyDescent="0.2">
      <c r="B10" s="20">
        <f>B9+1</f>
        <v>2</v>
      </c>
      <c r="C10" s="27" t="s">
        <v>149</v>
      </c>
      <c r="D10" s="116"/>
      <c r="E10" s="114">
        <f>'F4'!J16</f>
        <v>11.69</v>
      </c>
      <c r="F10" s="114">
        <f>E10</f>
        <v>11.69</v>
      </c>
      <c r="G10" s="119"/>
      <c r="H10" s="119">
        <f>F10+F14</f>
        <v>12.27</v>
      </c>
      <c r="I10" s="118"/>
      <c r="J10" s="119">
        <f>H10+H14</f>
        <v>12.85</v>
      </c>
    </row>
    <row r="11" spans="2:10" ht="15" x14ac:dyDescent="0.2">
      <c r="B11" s="20">
        <f t="shared" ref="B11:B21" si="0">B10+1</f>
        <v>3</v>
      </c>
      <c r="C11" s="29" t="s">
        <v>150</v>
      </c>
      <c r="D11" s="121">
        <f>D9-D10</f>
        <v>0</v>
      </c>
      <c r="E11" s="121">
        <f>IF((E9-E10)&lt;0,0,(E9-E10))</f>
        <v>9.1279999999999983</v>
      </c>
      <c r="F11" s="121">
        <f>IF((F9-F10)&lt;0,0,(F9-F10))</f>
        <v>9.1279999999999983</v>
      </c>
      <c r="G11" s="121">
        <f>IF((G9-G10)&lt;0,0,(G9-G10))</f>
        <v>0</v>
      </c>
      <c r="H11" s="121">
        <f>IF((H9-H10)&lt;0,0,(H9-H10))</f>
        <v>8.5479999999999983</v>
      </c>
      <c r="I11" s="121"/>
      <c r="J11" s="121">
        <f>IF((J9-J10)&lt;0,0,(J9-J10))</f>
        <v>7.9679999999999982</v>
      </c>
    </row>
    <row r="12" spans="2:10" ht="28.5" x14ac:dyDescent="0.2">
      <c r="B12" s="20">
        <f t="shared" si="0"/>
        <v>4</v>
      </c>
      <c r="C12" s="67" t="s">
        <v>151</v>
      </c>
      <c r="D12" s="127"/>
      <c r="E12" s="127"/>
      <c r="F12" s="127"/>
      <c r="G12" s="127"/>
      <c r="H12" s="127"/>
      <c r="I12" s="127"/>
      <c r="J12" s="127"/>
    </row>
    <row r="13" spans="2:10" s="32" customFormat="1" ht="28.5" x14ac:dyDescent="0.2">
      <c r="B13" s="20">
        <f t="shared" si="0"/>
        <v>5</v>
      </c>
      <c r="C13" s="37" t="s">
        <v>295</v>
      </c>
      <c r="D13" s="127"/>
      <c r="E13" s="114">
        <f>'F3'!E12*75%</f>
        <v>0</v>
      </c>
      <c r="F13" s="114">
        <f>'F3'!F12*75%</f>
        <v>0</v>
      </c>
      <c r="G13" s="114">
        <f>'F3'!G12*75%</f>
        <v>0</v>
      </c>
      <c r="H13" s="114">
        <f>'F3'!H12*75%</f>
        <v>0</v>
      </c>
      <c r="I13" s="114">
        <f>'F3'!I12*75%</f>
        <v>0</v>
      </c>
      <c r="J13" s="114">
        <f>'F3'!J12*75%</f>
        <v>0</v>
      </c>
    </row>
    <row r="14" spans="2:10" x14ac:dyDescent="0.2">
      <c r="B14" s="20">
        <f t="shared" si="0"/>
        <v>6</v>
      </c>
      <c r="C14" s="67" t="s">
        <v>156</v>
      </c>
      <c r="D14" s="204"/>
      <c r="E14" s="204">
        <f>'F1'!G11</f>
        <v>0.57999999999999996</v>
      </c>
      <c r="F14" s="204">
        <f>'F1'!H11</f>
        <v>0.57999999999999996</v>
      </c>
      <c r="G14" s="204">
        <f>'F1'!I11</f>
        <v>0.57999999999999996</v>
      </c>
      <c r="H14" s="204">
        <f>'F1'!J11</f>
        <v>0.57999999999999996</v>
      </c>
      <c r="I14" s="204">
        <f>'F1'!K11</f>
        <v>0.57999999999999996</v>
      </c>
      <c r="J14" s="204">
        <f>'F1'!L11</f>
        <v>0.57999999999999996</v>
      </c>
    </row>
    <row r="15" spans="2:10" ht="15" x14ac:dyDescent="0.2">
      <c r="B15" s="20">
        <f t="shared" si="0"/>
        <v>7</v>
      </c>
      <c r="C15" s="27" t="s">
        <v>152</v>
      </c>
      <c r="D15" s="121"/>
      <c r="E15" s="121">
        <f>IF((E11-E12+E13-E14)&lt;0,0,(E11-E12+E13-E14))</f>
        <v>8.5479999999999983</v>
      </c>
      <c r="F15" s="121">
        <f>IF((F11-F12+F13-F14)&lt;0,0,(F11-F12+F13-F14))</f>
        <v>8.5479999999999983</v>
      </c>
      <c r="G15" s="121"/>
      <c r="H15" s="121">
        <f>IF((H11-H12+H13-H14)&lt;0,0,(H11-H12+H13-H14))</f>
        <v>7.9679999999999982</v>
      </c>
      <c r="I15" s="121"/>
      <c r="J15" s="121">
        <f>IF((J11-J12+J13-J14)&lt;0,0,(J11-J12+J13-J14))</f>
        <v>7.3879999999999981</v>
      </c>
    </row>
    <row r="16" spans="2:10" ht="15" x14ac:dyDescent="0.2">
      <c r="B16" s="20">
        <f t="shared" si="0"/>
        <v>8</v>
      </c>
      <c r="C16" s="27" t="s">
        <v>153</v>
      </c>
      <c r="D16" s="121"/>
      <c r="E16" s="121">
        <f t="shared" ref="E16:J16" si="1">E9-E12+E13-E14</f>
        <v>20.238</v>
      </c>
      <c r="F16" s="121">
        <f t="shared" si="1"/>
        <v>20.238</v>
      </c>
      <c r="G16" s="121"/>
      <c r="H16" s="121">
        <f t="shared" si="1"/>
        <v>20.238</v>
      </c>
      <c r="I16" s="121"/>
      <c r="J16" s="121">
        <f t="shared" si="1"/>
        <v>20.238</v>
      </c>
    </row>
    <row r="17" spans="2:10" ht="15" x14ac:dyDescent="0.2">
      <c r="B17" s="20">
        <f t="shared" si="0"/>
        <v>9</v>
      </c>
      <c r="C17" s="27" t="s">
        <v>182</v>
      </c>
      <c r="D17" s="121"/>
      <c r="E17" s="121">
        <f t="shared" ref="E17:J17" si="2">AVERAGE(E11,E15)</f>
        <v>8.8379999999999974</v>
      </c>
      <c r="F17" s="121">
        <f t="shared" si="2"/>
        <v>8.8379999999999974</v>
      </c>
      <c r="G17" s="121"/>
      <c r="H17" s="121">
        <f t="shared" si="2"/>
        <v>8.2579999999999991</v>
      </c>
      <c r="I17" s="121"/>
      <c r="J17" s="121">
        <f t="shared" si="2"/>
        <v>7.6779999999999982</v>
      </c>
    </row>
    <row r="18" spans="2:10" x14ac:dyDescent="0.2">
      <c r="B18" s="20">
        <f t="shared" si="0"/>
        <v>10</v>
      </c>
      <c r="C18" s="67" t="s">
        <v>181</v>
      </c>
      <c r="D18" s="205"/>
      <c r="E18" s="205">
        <v>0.10100000000000001</v>
      </c>
      <c r="F18" s="205">
        <f>E18</f>
        <v>0.10100000000000001</v>
      </c>
      <c r="G18" s="205"/>
      <c r="H18" s="205">
        <v>0.10100000000000001</v>
      </c>
      <c r="I18" s="205"/>
      <c r="J18" s="205">
        <v>0.10100000000000001</v>
      </c>
    </row>
    <row r="19" spans="2:10" ht="15" x14ac:dyDescent="0.2">
      <c r="B19" s="20">
        <f t="shared" si="0"/>
        <v>11</v>
      </c>
      <c r="C19" s="27" t="s">
        <v>242</v>
      </c>
      <c r="D19" s="121">
        <f>D17*D18</f>
        <v>0</v>
      </c>
      <c r="E19" s="121">
        <f>ROUND(E17*E18,2)</f>
        <v>0.89</v>
      </c>
      <c r="F19" s="121">
        <f>ROUND(F17*F18,2)</f>
        <v>0.89</v>
      </c>
      <c r="G19" s="121">
        <f>G17*G18</f>
        <v>0</v>
      </c>
      <c r="H19" s="121">
        <f>ROUND(H17*H18,2)</f>
        <v>0.83</v>
      </c>
      <c r="I19" s="121"/>
      <c r="J19" s="121">
        <f>ROUND(J17*J18,2)</f>
        <v>0.78</v>
      </c>
    </row>
    <row r="20" spans="2:10" x14ac:dyDescent="0.2">
      <c r="B20" s="20">
        <f t="shared" si="0"/>
        <v>12</v>
      </c>
      <c r="C20" s="27" t="s">
        <v>243</v>
      </c>
      <c r="D20" s="120"/>
      <c r="E20" s="120"/>
      <c r="F20" s="120"/>
      <c r="G20" s="120"/>
      <c r="H20" s="120"/>
      <c r="I20" s="120"/>
      <c r="J20" s="120"/>
    </row>
    <row r="21" spans="2:10" ht="15" x14ac:dyDescent="0.2">
      <c r="B21" s="20">
        <f t="shared" si="0"/>
        <v>13</v>
      </c>
      <c r="C21" s="27" t="s">
        <v>244</v>
      </c>
      <c r="D21" s="121">
        <v>0.65</v>
      </c>
      <c r="E21" s="121">
        <f>IF((E19+E20)&lt;0,0,(E19+E20))</f>
        <v>0.89</v>
      </c>
      <c r="F21" s="121">
        <f>IF((F19+F20)&lt;0,0,(F19+F20))</f>
        <v>0.89</v>
      </c>
      <c r="G21" s="121">
        <v>0.57999999999999996</v>
      </c>
      <c r="H21" s="121">
        <f>IF((H19+H20)&lt;0,0,(H19+H20))</f>
        <v>0.83</v>
      </c>
      <c r="I21" s="121">
        <v>0.51</v>
      </c>
      <c r="J21" s="121">
        <f>IF((J19+J20)&lt;0,0,(J19+J20))</f>
        <v>0.78</v>
      </c>
    </row>
    <row r="22" spans="2:10" x14ac:dyDescent="0.2">
      <c r="B22" s="34"/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zoomScale="95" zoomScaleNormal="95" zoomScaleSheetLayoutView="90" workbookViewId="0">
      <selection activeCell="K9" sqref="K9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0" width="14.42578125" style="5" bestFit="1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5" x14ac:dyDescent="0.2">
      <c r="E2" s="32" t="s">
        <v>298</v>
      </c>
    </row>
    <row r="3" spans="2:12" ht="15" x14ac:dyDescent="0.2">
      <c r="E3" s="32" t="str">
        <f>'F1'!$F$3</f>
        <v>Pochampad-II</v>
      </c>
    </row>
    <row r="4" spans="2:12" ht="15" x14ac:dyDescent="0.2">
      <c r="E4" s="35" t="s">
        <v>245</v>
      </c>
    </row>
    <row r="5" spans="2:12" ht="15" x14ac:dyDescent="0.2">
      <c r="J5" s="26" t="s">
        <v>4</v>
      </c>
    </row>
    <row r="6" spans="2:12" s="13" customFormat="1" ht="15" customHeight="1" x14ac:dyDescent="0.2">
      <c r="B6" s="224" t="s">
        <v>164</v>
      </c>
      <c r="C6" s="227" t="s">
        <v>14</v>
      </c>
      <c r="D6" s="231" t="s">
        <v>299</v>
      </c>
      <c r="E6" s="232"/>
      <c r="F6" s="233"/>
      <c r="G6" s="231" t="s">
        <v>300</v>
      </c>
      <c r="H6" s="233"/>
      <c r="I6" s="231" t="s">
        <v>327</v>
      </c>
      <c r="J6" s="233"/>
    </row>
    <row r="7" spans="2:12" s="13" customFormat="1" ht="45" x14ac:dyDescent="0.2">
      <c r="B7" s="225"/>
      <c r="C7" s="22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2" s="13" customFormat="1" ht="30" x14ac:dyDescent="0.2">
      <c r="B8" s="226"/>
      <c r="C8" s="22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323</v>
      </c>
      <c r="I8" s="15" t="s">
        <v>10</v>
      </c>
      <c r="J8" s="15" t="s">
        <v>323</v>
      </c>
    </row>
    <row r="9" spans="2:12" x14ac:dyDescent="0.2">
      <c r="B9" s="61">
        <v>1</v>
      </c>
      <c r="C9" s="27" t="s">
        <v>246</v>
      </c>
      <c r="D9" s="2"/>
      <c r="E9" s="109"/>
      <c r="F9" s="114"/>
      <c r="G9" s="119"/>
      <c r="H9" s="119"/>
      <c r="I9" s="119"/>
      <c r="J9" s="119"/>
    </row>
    <row r="10" spans="2:12" x14ac:dyDescent="0.2">
      <c r="B10" s="20">
        <f>B9+1</f>
        <v>2</v>
      </c>
      <c r="C10" s="27" t="s">
        <v>247</v>
      </c>
      <c r="D10" s="2"/>
      <c r="E10" s="109"/>
      <c r="F10" s="114"/>
      <c r="G10" s="119"/>
      <c r="H10" s="119"/>
      <c r="I10" s="119"/>
      <c r="J10" s="119"/>
    </row>
    <row r="11" spans="2:12" x14ac:dyDescent="0.2">
      <c r="B11" s="20">
        <f t="shared" ref="B11:B19" si="0">B10+1</f>
        <v>3</v>
      </c>
      <c r="C11" s="29" t="s">
        <v>248</v>
      </c>
      <c r="D11" s="2"/>
      <c r="E11" s="109"/>
      <c r="F11" s="114"/>
      <c r="G11" s="119"/>
      <c r="H11" s="119"/>
      <c r="I11" s="119"/>
      <c r="J11" s="119"/>
    </row>
    <row r="12" spans="2:12" x14ac:dyDescent="0.2">
      <c r="B12" s="20">
        <f t="shared" si="0"/>
        <v>4</v>
      </c>
      <c r="C12" s="67" t="s">
        <v>249</v>
      </c>
      <c r="D12" s="108"/>
      <c r="E12" s="108">
        <f>'F2'!F14/12</f>
        <v>0.72750000000000004</v>
      </c>
      <c r="F12" s="127">
        <f>'F2'!G14/12</f>
        <v>0.72750000000000004</v>
      </c>
      <c r="G12" s="127"/>
      <c r="H12" s="127">
        <f>'F2'!I14/12</f>
        <v>0.7599999999999999</v>
      </c>
      <c r="I12" s="127"/>
      <c r="J12" s="127">
        <f>'F2'!K14/12</f>
        <v>0.79249999999999998</v>
      </c>
    </row>
    <row r="13" spans="2:12" s="32" customFormat="1" ht="15" x14ac:dyDescent="0.2">
      <c r="B13" s="20">
        <f t="shared" si="0"/>
        <v>5</v>
      </c>
      <c r="C13" s="37" t="s">
        <v>250</v>
      </c>
      <c r="D13" s="68"/>
      <c r="E13" s="114">
        <f>'F4'!F16*1%</f>
        <v>0.2974</v>
      </c>
      <c r="F13" s="114">
        <f>E13</f>
        <v>0.2974</v>
      </c>
      <c r="G13" s="114"/>
      <c r="H13" s="114">
        <f>'F4'!F27*1%</f>
        <v>0.2974</v>
      </c>
      <c r="I13" s="114"/>
      <c r="J13" s="114">
        <f>'F4'!F27*1%</f>
        <v>0.2974</v>
      </c>
    </row>
    <row r="14" spans="2:12" x14ac:dyDescent="0.2">
      <c r="B14" s="20">
        <f t="shared" si="0"/>
        <v>6</v>
      </c>
      <c r="C14" s="67" t="s">
        <v>292</v>
      </c>
      <c r="D14" s="108"/>
      <c r="E14" s="108">
        <f ca="1">'F1'!G16*45/365</f>
        <v>1.5312328767123291</v>
      </c>
      <c r="F14" s="108">
        <f ca="1">'F1'!H16*45/365</f>
        <v>1.5312328767123291</v>
      </c>
      <c r="G14" s="108"/>
      <c r="H14" s="108">
        <f ca="1">'F1'!J16*45/365</f>
        <v>1.5632876712328767</v>
      </c>
      <c r="I14" s="108"/>
      <c r="J14" s="108">
        <f ca="1">'F1'!L16*45/365</f>
        <v>1.6052054794520547</v>
      </c>
      <c r="K14" s="154"/>
    </row>
    <row r="15" spans="2:12" x14ac:dyDescent="0.2">
      <c r="B15" s="20"/>
      <c r="C15" s="67" t="s">
        <v>251</v>
      </c>
      <c r="D15" s="68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293</v>
      </c>
      <c r="D16" s="108"/>
      <c r="E16" s="108"/>
      <c r="F16" s="108"/>
      <c r="G16" s="108"/>
      <c r="H16" s="108"/>
      <c r="I16" s="108"/>
      <c r="J16" s="108"/>
      <c r="L16" s="154"/>
    </row>
    <row r="17" spans="2:10" ht="15" x14ac:dyDescent="0.2">
      <c r="B17" s="20">
        <f t="shared" si="0"/>
        <v>8</v>
      </c>
      <c r="C17" s="27" t="s">
        <v>40</v>
      </c>
      <c r="D17" s="106">
        <f>SUM(D9:D14)-D16</f>
        <v>0</v>
      </c>
      <c r="E17" s="106">
        <f t="shared" ref="E17:J17" ca="1" si="1">SUM(E9:E14)-E16</f>
        <v>2.5561328767123292</v>
      </c>
      <c r="F17" s="106">
        <f t="shared" ca="1" si="1"/>
        <v>2.5561328767123292</v>
      </c>
      <c r="G17" s="106">
        <f t="shared" si="1"/>
        <v>0</v>
      </c>
      <c r="H17" s="106">
        <f t="shared" ca="1" si="1"/>
        <v>2.6206876712328766</v>
      </c>
      <c r="I17" s="106">
        <f t="shared" si="1"/>
        <v>0</v>
      </c>
      <c r="J17" s="106">
        <f t="shared" ca="1" si="1"/>
        <v>2.6951054794520548</v>
      </c>
    </row>
    <row r="18" spans="2:10" x14ac:dyDescent="0.2">
      <c r="B18" s="20">
        <f t="shared" si="0"/>
        <v>9</v>
      </c>
      <c r="C18" s="27" t="s">
        <v>252</v>
      </c>
      <c r="D18" s="107"/>
      <c r="E18" s="107">
        <v>0.1041</v>
      </c>
      <c r="F18" s="107">
        <f>E18</f>
        <v>0.1041</v>
      </c>
      <c r="G18" s="107">
        <v>0.10249999999999999</v>
      </c>
      <c r="H18" s="107">
        <v>0.10249999999999999</v>
      </c>
      <c r="I18" s="107"/>
      <c r="J18" s="107">
        <v>0.10249999999999999</v>
      </c>
    </row>
    <row r="19" spans="2:10" ht="15" x14ac:dyDescent="0.2">
      <c r="B19" s="20">
        <f t="shared" si="0"/>
        <v>10</v>
      </c>
      <c r="C19" s="67" t="s">
        <v>253</v>
      </c>
      <c r="D19" s="106">
        <v>0.21</v>
      </c>
      <c r="E19" s="106">
        <f ca="1">ROUND(E17*E18,2)</f>
        <v>0.27</v>
      </c>
      <c r="F19" s="106">
        <f ca="1">ROUND(F17*F18,2)</f>
        <v>0.27</v>
      </c>
      <c r="G19" s="106">
        <v>0.22</v>
      </c>
      <c r="H19" s="106">
        <f ca="1">ROUND(H17*H18,2)</f>
        <v>0.27</v>
      </c>
      <c r="I19" s="106">
        <v>0.23</v>
      </c>
      <c r="J19" s="106">
        <f ca="1">ROUND(J17*J18,2)</f>
        <v>0.28000000000000003</v>
      </c>
    </row>
    <row r="20" spans="2:10" x14ac:dyDescent="0.2">
      <c r="D20" s="139"/>
    </row>
    <row r="21" spans="2:10" x14ac:dyDescent="0.2">
      <c r="C21" s="5" t="s">
        <v>208</v>
      </c>
    </row>
    <row r="22" spans="2:10" x14ac:dyDescent="0.2">
      <c r="C22" s="5" t="s">
        <v>294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scale="9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zoomScale="91" zoomScaleNormal="91" zoomScaleSheetLayoutView="90" zoomScalePageLayoutView="84" workbookViewId="0">
      <selection activeCell="B2" sqref="B2:J2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4.25" customHeight="1" x14ac:dyDescent="0.2">
      <c r="B2" s="234" t="s">
        <v>298</v>
      </c>
      <c r="C2" s="234"/>
      <c r="D2" s="234"/>
      <c r="E2" s="234"/>
      <c r="F2" s="234"/>
      <c r="G2" s="234"/>
      <c r="H2" s="234"/>
      <c r="I2" s="234"/>
      <c r="J2" s="234"/>
    </row>
    <row r="3" spans="2:10" ht="14.25" customHeight="1" x14ac:dyDescent="0.2">
      <c r="B3" s="234" t="str">
        <f>'F1'!$F$3</f>
        <v>Pochampad-II</v>
      </c>
      <c r="C3" s="234"/>
      <c r="D3" s="234"/>
      <c r="E3" s="234"/>
      <c r="F3" s="234"/>
      <c r="G3" s="234"/>
      <c r="H3" s="234"/>
      <c r="I3" s="234"/>
      <c r="J3" s="234"/>
    </row>
    <row r="4" spans="2:10" ht="15" x14ac:dyDescent="0.2">
      <c r="D4" s="35" t="s">
        <v>254</v>
      </c>
    </row>
    <row r="5" spans="2:10" ht="15" x14ac:dyDescent="0.2">
      <c r="J5" s="26" t="s">
        <v>4</v>
      </c>
    </row>
    <row r="6" spans="2:10" s="13" customFormat="1" ht="15" customHeight="1" x14ac:dyDescent="0.2">
      <c r="B6" s="224" t="s">
        <v>164</v>
      </c>
      <c r="C6" s="227" t="s">
        <v>14</v>
      </c>
      <c r="D6" s="231" t="s">
        <v>299</v>
      </c>
      <c r="E6" s="232"/>
      <c r="F6" s="233"/>
      <c r="G6" s="231" t="s">
        <v>300</v>
      </c>
      <c r="H6" s="233"/>
      <c r="I6" s="231" t="s">
        <v>327</v>
      </c>
      <c r="J6" s="233"/>
    </row>
    <row r="7" spans="2:10" s="13" customFormat="1" ht="45" x14ac:dyDescent="0.2">
      <c r="B7" s="225"/>
      <c r="C7" s="22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6"/>
      <c r="C8" s="22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323</v>
      </c>
      <c r="I8" s="15" t="s">
        <v>10</v>
      </c>
      <c r="J8" s="15" t="s">
        <v>323</v>
      </c>
    </row>
    <row r="9" spans="2:10" x14ac:dyDescent="0.2">
      <c r="B9" s="61">
        <v>1</v>
      </c>
      <c r="C9" s="27" t="s">
        <v>190</v>
      </c>
      <c r="D9" s="116"/>
      <c r="E9" s="114">
        <f>'F4'!F16*30%</f>
        <v>8.9219999999999988</v>
      </c>
      <c r="F9" s="114">
        <f>E9</f>
        <v>8.9219999999999988</v>
      </c>
      <c r="G9" s="118"/>
      <c r="H9" s="119">
        <f>E13</f>
        <v>8.9219999999999988</v>
      </c>
      <c r="I9" s="118"/>
      <c r="J9" s="119">
        <f>H13</f>
        <v>8.9219999999999988</v>
      </c>
    </row>
    <row r="10" spans="2:10" x14ac:dyDescent="0.2">
      <c r="B10" s="20">
        <f>B9+1</f>
        <v>2</v>
      </c>
      <c r="C10" s="27" t="s">
        <v>191</v>
      </c>
      <c r="D10" s="116"/>
      <c r="E10" s="114">
        <f>'F3'!E12</f>
        <v>0</v>
      </c>
      <c r="F10" s="114">
        <f>'F3'!F12</f>
        <v>0</v>
      </c>
      <c r="G10" s="114">
        <f>'F3'!G12</f>
        <v>0</v>
      </c>
      <c r="H10" s="114">
        <f>'F3'!H12</f>
        <v>0</v>
      </c>
      <c r="I10" s="114">
        <f>'F3'!I12</f>
        <v>0</v>
      </c>
      <c r="J10" s="114">
        <f>'F3'!J12</f>
        <v>0</v>
      </c>
    </row>
    <row r="11" spans="2:10" x14ac:dyDescent="0.2">
      <c r="B11" s="20">
        <f t="shared" ref="B11:B21" si="0">B10+1</f>
        <v>3</v>
      </c>
      <c r="C11" s="29" t="s">
        <v>15</v>
      </c>
      <c r="D11" s="117">
        <f>D10*25%</f>
        <v>0</v>
      </c>
      <c r="E11" s="117">
        <f>E10*25%</f>
        <v>0</v>
      </c>
      <c r="F11" s="117">
        <f t="shared" ref="F11:J11" si="1">F10*25%</f>
        <v>0</v>
      </c>
      <c r="G11" s="117">
        <f t="shared" si="1"/>
        <v>0</v>
      </c>
      <c r="H11" s="117">
        <f t="shared" si="1"/>
        <v>0</v>
      </c>
      <c r="I11" s="117">
        <f t="shared" si="1"/>
        <v>0</v>
      </c>
      <c r="J11" s="117">
        <f t="shared" si="1"/>
        <v>0</v>
      </c>
    </row>
    <row r="12" spans="2:10" ht="28.5" x14ac:dyDescent="0.2">
      <c r="B12" s="20">
        <f t="shared" si="0"/>
        <v>4</v>
      </c>
      <c r="C12" s="67" t="s">
        <v>16</v>
      </c>
      <c r="D12" s="120"/>
      <c r="E12" s="39"/>
      <c r="F12" s="116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17</v>
      </c>
      <c r="D13" s="121">
        <f>D9+D11-D12</f>
        <v>0</v>
      </c>
      <c r="E13" s="121">
        <f t="shared" ref="E13:J13" si="2">E9+E11-E12</f>
        <v>8.9219999999999988</v>
      </c>
      <c r="F13" s="121">
        <f>F9+F11-F12</f>
        <v>8.9219999999999988</v>
      </c>
      <c r="G13" s="121">
        <f t="shared" si="2"/>
        <v>0</v>
      </c>
      <c r="H13" s="121">
        <f t="shared" si="2"/>
        <v>8.9219999999999988</v>
      </c>
      <c r="I13" s="121"/>
      <c r="J13" s="121">
        <f t="shared" si="2"/>
        <v>8.9219999999999988</v>
      </c>
    </row>
    <row r="14" spans="2:10" s="32" customFormat="1" ht="15" x14ac:dyDescent="0.2">
      <c r="B14" s="20"/>
      <c r="C14" s="69" t="s">
        <v>255</v>
      </c>
      <c r="D14" s="68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256</v>
      </c>
      <c r="D15" s="160">
        <v>0.125</v>
      </c>
      <c r="E15" s="160">
        <v>0.16500000000000001</v>
      </c>
      <c r="F15" s="160">
        <v>0.16500000000000001</v>
      </c>
      <c r="G15" s="160">
        <v>0.16500000000000001</v>
      </c>
      <c r="H15" s="160">
        <v>0.16500000000000001</v>
      </c>
      <c r="I15" s="160">
        <v>0.16500000000000001</v>
      </c>
      <c r="J15" s="160">
        <v>0.16500000000000001</v>
      </c>
    </row>
    <row r="16" spans="2:10" s="32" customFormat="1" ht="15" x14ac:dyDescent="0.2">
      <c r="B16" s="20">
        <f>B15+1</f>
        <v>7</v>
      </c>
      <c r="C16" s="37" t="s">
        <v>257</v>
      </c>
      <c r="D16" s="161">
        <v>0.25168000000000001</v>
      </c>
      <c r="E16" s="161">
        <v>0.25168000000000001</v>
      </c>
      <c r="F16" s="161">
        <v>0.25168000000000001</v>
      </c>
      <c r="G16" s="161">
        <v>0.25168000000000001</v>
      </c>
      <c r="H16" s="161">
        <v>0.25168000000000001</v>
      </c>
      <c r="I16" s="161">
        <v>0.25168000000000001</v>
      </c>
      <c r="J16" s="161">
        <v>0.25168000000000001</v>
      </c>
    </row>
    <row r="17" spans="2:10" s="32" customFormat="1" ht="15" x14ac:dyDescent="0.2">
      <c r="B17" s="20">
        <f>B16+1</f>
        <v>8</v>
      </c>
      <c r="C17" s="30" t="s">
        <v>255</v>
      </c>
      <c r="D17" s="162">
        <f>D15/(1-D16)</f>
        <v>0.16704083814410947</v>
      </c>
      <c r="E17" s="162">
        <f t="shared" ref="E17:J17" si="3">E15/(1-E16)</f>
        <v>0.22049390635022451</v>
      </c>
      <c r="F17" s="162">
        <f t="shared" si="3"/>
        <v>0.22049390635022451</v>
      </c>
      <c r="G17" s="162">
        <f t="shared" si="3"/>
        <v>0.22049390635022451</v>
      </c>
      <c r="H17" s="162">
        <f t="shared" si="3"/>
        <v>0.22049390635022451</v>
      </c>
      <c r="I17" s="162">
        <f t="shared" si="3"/>
        <v>0.22049390635022451</v>
      </c>
      <c r="J17" s="162">
        <f t="shared" si="3"/>
        <v>0.22049390635022451</v>
      </c>
    </row>
    <row r="18" spans="2:10" ht="15" x14ac:dyDescent="0.2">
      <c r="B18" s="20"/>
      <c r="C18" s="69" t="s">
        <v>154</v>
      </c>
      <c r="D18" s="105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7" t="s">
        <v>192</v>
      </c>
      <c r="D19" s="106">
        <f>D9*D17</f>
        <v>0</v>
      </c>
      <c r="E19" s="106">
        <f t="shared" ref="E19:J19" si="4">E9*E17</f>
        <v>1.9672466324567028</v>
      </c>
      <c r="F19" s="106">
        <f t="shared" si="4"/>
        <v>1.9672466324567028</v>
      </c>
      <c r="G19" s="106">
        <f t="shared" si="4"/>
        <v>0</v>
      </c>
      <c r="H19" s="106">
        <f t="shared" si="4"/>
        <v>1.9672466324567028</v>
      </c>
      <c r="I19" s="106"/>
      <c r="J19" s="106">
        <f t="shared" si="4"/>
        <v>1.9672466324567028</v>
      </c>
    </row>
    <row r="20" spans="2:10" ht="18.75" customHeight="1" x14ac:dyDescent="0.2">
      <c r="B20" s="20">
        <f t="shared" si="0"/>
        <v>10</v>
      </c>
      <c r="C20" s="67" t="s">
        <v>193</v>
      </c>
      <c r="D20" s="106">
        <f>AVERAGE(D9,D13)*D17-D19</f>
        <v>0</v>
      </c>
      <c r="E20" s="106">
        <f t="shared" ref="E20:J20" si="5">AVERAGE(E9,E13)*E17-E19</f>
        <v>0</v>
      </c>
      <c r="F20" s="106">
        <f t="shared" si="5"/>
        <v>0</v>
      </c>
      <c r="G20" s="106">
        <f t="shared" si="5"/>
        <v>0</v>
      </c>
      <c r="H20" s="106">
        <f t="shared" si="5"/>
        <v>0</v>
      </c>
      <c r="I20" s="106"/>
      <c r="J20" s="106">
        <f t="shared" si="5"/>
        <v>0</v>
      </c>
    </row>
    <row r="21" spans="2:10" ht="15" x14ac:dyDescent="0.2">
      <c r="B21" s="20">
        <f t="shared" si="0"/>
        <v>11</v>
      </c>
      <c r="C21" s="38" t="s">
        <v>155</v>
      </c>
      <c r="D21" s="106">
        <v>1.1200000000000001</v>
      </c>
      <c r="E21" s="106">
        <f>ROUND((E19+E20),2)</f>
        <v>1.97</v>
      </c>
      <c r="F21" s="106">
        <f>ROUND((F19+F20),2)</f>
        <v>1.97</v>
      </c>
      <c r="G21" s="106">
        <v>1.47</v>
      </c>
      <c r="H21" s="106">
        <f>ROUND((H19+H20),2)</f>
        <v>1.97</v>
      </c>
      <c r="I21" s="106">
        <v>1.47</v>
      </c>
      <c r="J21" s="106">
        <f>ROUND((J19+J20),2)</f>
        <v>1.97</v>
      </c>
    </row>
    <row r="22" spans="2:10" x14ac:dyDescent="0.2">
      <c r="C22" s="5" t="s">
        <v>208</v>
      </c>
    </row>
    <row r="23" spans="2:10" x14ac:dyDescent="0.2">
      <c r="C23" s="5" t="s">
        <v>296</v>
      </c>
    </row>
  </sheetData>
  <mergeCells count="7">
    <mergeCell ref="B3:J3"/>
    <mergeCell ref="B2:J2"/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A11" zoomScale="90" zoomScaleNormal="112" zoomScaleSheetLayoutView="90" workbookViewId="0">
      <selection activeCell="J29" sqref="J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298</v>
      </c>
    </row>
    <row r="3" spans="2:10" ht="15" x14ac:dyDescent="0.2">
      <c r="E3" s="32" t="str">
        <f>'F1'!$F$3</f>
        <v>Pochampad-II</v>
      </c>
    </row>
    <row r="4" spans="2:10" ht="15" x14ac:dyDescent="0.2">
      <c r="B4" s="33"/>
      <c r="C4" s="24"/>
      <c r="D4" s="25"/>
      <c r="E4" s="35" t="s">
        <v>258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24" t="s">
        <v>164</v>
      </c>
      <c r="C6" s="227" t="s">
        <v>14</v>
      </c>
      <c r="D6" s="231" t="s">
        <v>299</v>
      </c>
      <c r="E6" s="232"/>
      <c r="F6" s="233"/>
      <c r="G6" s="231" t="s">
        <v>300</v>
      </c>
      <c r="H6" s="233"/>
      <c r="I6" s="231" t="s">
        <v>327</v>
      </c>
      <c r="J6" s="233"/>
    </row>
    <row r="7" spans="2:10" s="13" customFormat="1" ht="30" x14ac:dyDescent="0.2">
      <c r="B7" s="225"/>
      <c r="C7" s="227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0" s="13" customFormat="1" ht="15" x14ac:dyDescent="0.2">
      <c r="B8" s="226"/>
      <c r="C8" s="228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40" t="s">
        <v>304</v>
      </c>
      <c r="D9" s="141"/>
      <c r="E9" s="142">
        <v>2.5372772336884654E-3</v>
      </c>
      <c r="F9" s="142">
        <v>2.5372772336884654E-3</v>
      </c>
      <c r="G9" s="15"/>
      <c r="H9" s="166">
        <v>2.6387683230360039E-3</v>
      </c>
      <c r="I9" s="15"/>
      <c r="J9" s="166">
        <v>2.7443190559574442E-3</v>
      </c>
    </row>
    <row r="10" spans="2:10" s="13" customFormat="1" ht="15" x14ac:dyDescent="0.2">
      <c r="B10" s="61">
        <f>B9+1</f>
        <v>2</v>
      </c>
      <c r="C10" s="140" t="s">
        <v>305</v>
      </c>
      <c r="D10" s="141"/>
      <c r="E10" s="142">
        <v>1.7163217857350693E-4</v>
      </c>
      <c r="F10" s="142">
        <v>1.7163217857350693E-4</v>
      </c>
      <c r="G10" s="15"/>
      <c r="H10" s="166">
        <v>1.7849746571644724E-4</v>
      </c>
      <c r="I10" s="15"/>
      <c r="J10" s="166">
        <v>1.8563736434510514E-4</v>
      </c>
    </row>
    <row r="11" spans="2:10" s="13" customFormat="1" ht="15" x14ac:dyDescent="0.2">
      <c r="B11" s="61">
        <f t="shared" ref="B11:B27" si="0">B10+1</f>
        <v>3</v>
      </c>
      <c r="C11" s="140" t="s">
        <v>306</v>
      </c>
      <c r="D11" s="141"/>
      <c r="E11" s="142">
        <v>4.4236676062723326E-4</v>
      </c>
      <c r="F11" s="142">
        <v>4.4236676062723326E-4</v>
      </c>
      <c r="G11" s="15"/>
      <c r="H11" s="166">
        <v>4.6006143105232258E-4</v>
      </c>
      <c r="I11" s="15"/>
      <c r="J11" s="166">
        <v>4.784638882944155E-4</v>
      </c>
    </row>
    <row r="12" spans="2:10" s="13" customFormat="1" ht="15" x14ac:dyDescent="0.2">
      <c r="B12" s="61">
        <f t="shared" si="0"/>
        <v>4</v>
      </c>
      <c r="C12" s="140" t="s">
        <v>307</v>
      </c>
      <c r="D12" s="141"/>
      <c r="E12" s="142">
        <v>0</v>
      </c>
      <c r="F12" s="142">
        <v>0</v>
      </c>
      <c r="G12" s="15"/>
      <c r="H12" s="166">
        <v>0</v>
      </c>
      <c r="I12" s="15"/>
      <c r="J12" s="166">
        <v>0</v>
      </c>
    </row>
    <row r="13" spans="2:10" s="13" customFormat="1" ht="15" x14ac:dyDescent="0.2">
      <c r="B13" s="61">
        <f t="shared" si="0"/>
        <v>5</v>
      </c>
      <c r="C13" s="140" t="s">
        <v>308</v>
      </c>
      <c r="D13" s="142"/>
      <c r="E13" s="142">
        <v>1.5070136464815007E-3</v>
      </c>
      <c r="F13" s="142">
        <v>1.5070136464815007E-3</v>
      </c>
      <c r="G13" s="15"/>
      <c r="H13" s="166">
        <v>1.5672941923407606E-3</v>
      </c>
      <c r="I13" s="15"/>
      <c r="J13" s="166">
        <v>1.629985960034391E-3</v>
      </c>
    </row>
    <row r="14" spans="2:10" s="13" customFormat="1" ht="15" x14ac:dyDescent="0.2">
      <c r="B14" s="61">
        <f t="shared" si="0"/>
        <v>6</v>
      </c>
      <c r="C14" s="140" t="s">
        <v>309</v>
      </c>
      <c r="D14" s="142"/>
      <c r="E14" s="142">
        <v>3.0712364733524781E-3</v>
      </c>
      <c r="F14" s="142">
        <v>3.0712364733524781E-3</v>
      </c>
      <c r="G14" s="15"/>
      <c r="H14" s="166">
        <v>3.1940859322865771E-3</v>
      </c>
      <c r="I14" s="15"/>
      <c r="J14" s="166">
        <v>3.3218493695780405E-3</v>
      </c>
    </row>
    <row r="15" spans="2:10" s="13" customFormat="1" ht="15" x14ac:dyDescent="0.2">
      <c r="B15" s="61">
        <f t="shared" si="0"/>
        <v>7</v>
      </c>
      <c r="C15" s="140" t="s">
        <v>310</v>
      </c>
      <c r="D15" s="142"/>
      <c r="E15" s="142">
        <v>6.6704675028506273E-4</v>
      </c>
      <c r="F15" s="142">
        <v>6.6704675028506273E-4</v>
      </c>
      <c r="G15" s="15"/>
      <c r="H15" s="166">
        <v>6.9372862029646524E-4</v>
      </c>
      <c r="I15" s="15"/>
      <c r="J15" s="166">
        <v>7.2147776510832391E-4</v>
      </c>
    </row>
    <row r="16" spans="2:10" s="13" customFormat="1" ht="15" x14ac:dyDescent="0.2">
      <c r="B16" s="61">
        <f t="shared" si="0"/>
        <v>8</v>
      </c>
      <c r="C16" s="140" t="s">
        <v>311</v>
      </c>
      <c r="D16" s="142"/>
      <c r="E16" s="142">
        <v>2.7497543352155503E-3</v>
      </c>
      <c r="F16" s="142">
        <v>2.7497543352155503E-3</v>
      </c>
      <c r="G16" s="15"/>
      <c r="H16" s="166">
        <v>2.8597445086241727E-3</v>
      </c>
      <c r="I16" s="15"/>
      <c r="J16" s="166">
        <v>2.9741342889691397E-3</v>
      </c>
    </row>
    <row r="17" spans="2:10" s="13" customFormat="1" ht="15" x14ac:dyDescent="0.2">
      <c r="B17" s="61">
        <f t="shared" si="0"/>
        <v>9</v>
      </c>
      <c r="C17" s="140" t="s">
        <v>312</v>
      </c>
      <c r="D17" s="142"/>
      <c r="E17" s="142">
        <v>0</v>
      </c>
      <c r="F17" s="142">
        <v>0</v>
      </c>
      <c r="G17" s="15"/>
      <c r="H17" s="166">
        <v>0</v>
      </c>
      <c r="I17" s="15"/>
      <c r="J17" s="166">
        <v>0</v>
      </c>
    </row>
    <row r="18" spans="2:10" s="13" customFormat="1" ht="15" x14ac:dyDescent="0.2">
      <c r="B18" s="61">
        <f t="shared" si="0"/>
        <v>10</v>
      </c>
      <c r="C18" s="140" t="s">
        <v>313</v>
      </c>
      <c r="D18" s="142"/>
      <c r="E18" s="142">
        <v>0</v>
      </c>
      <c r="F18" s="142">
        <v>0</v>
      </c>
      <c r="G18" s="15"/>
      <c r="H18" s="166">
        <v>0</v>
      </c>
      <c r="I18" s="15"/>
      <c r="J18" s="166">
        <v>0</v>
      </c>
    </row>
    <row r="19" spans="2:10" s="13" customFormat="1" ht="15" x14ac:dyDescent="0.2">
      <c r="B19" s="61">
        <f t="shared" si="0"/>
        <v>11</v>
      </c>
      <c r="C19" s="140" t="s">
        <v>314</v>
      </c>
      <c r="D19" s="142"/>
      <c r="E19" s="142">
        <v>5.8071702109464092E-3</v>
      </c>
      <c r="F19" s="142">
        <v>5.8071702109464092E-3</v>
      </c>
      <c r="G19" s="15"/>
      <c r="H19" s="166">
        <v>7.5080595781641959E-2</v>
      </c>
      <c r="I19" s="15"/>
      <c r="J19" s="166">
        <v>7.808381961290764E-2</v>
      </c>
    </row>
    <row r="20" spans="2:10" s="13" customFormat="1" ht="15" x14ac:dyDescent="0.2">
      <c r="B20" s="61">
        <f t="shared" si="0"/>
        <v>12</v>
      </c>
      <c r="C20" s="140" t="s">
        <v>315</v>
      </c>
      <c r="D20" s="142"/>
      <c r="E20" s="142">
        <v>0</v>
      </c>
      <c r="F20" s="142">
        <v>0</v>
      </c>
      <c r="G20" s="15"/>
      <c r="H20" s="166">
        <v>0</v>
      </c>
      <c r="I20" s="15"/>
      <c r="J20" s="166">
        <v>0</v>
      </c>
    </row>
    <row r="21" spans="2:10" x14ac:dyDescent="0.2">
      <c r="B21" s="61">
        <f t="shared" si="0"/>
        <v>13</v>
      </c>
      <c r="C21" s="140" t="s">
        <v>316</v>
      </c>
      <c r="D21" s="142"/>
      <c r="E21" s="142">
        <v>2.5349924791558988E-4</v>
      </c>
      <c r="F21" s="142">
        <v>2.5349924791558988E-4</v>
      </c>
      <c r="G21" s="21"/>
      <c r="H21" s="119">
        <v>2.636392178322135E-4</v>
      </c>
      <c r="I21" s="21"/>
      <c r="J21" s="119">
        <v>2.7418478654550203E-4</v>
      </c>
    </row>
    <row r="22" spans="2:10" x14ac:dyDescent="0.2">
      <c r="B22" s="61">
        <f t="shared" si="0"/>
        <v>14</v>
      </c>
      <c r="C22" s="140" t="s">
        <v>317</v>
      </c>
      <c r="D22" s="142"/>
      <c r="E22" s="142">
        <v>3.8073641979720905E-4</v>
      </c>
      <c r="F22" s="142">
        <v>3.8073641979720905E-4</v>
      </c>
      <c r="G22" s="21"/>
      <c r="H22" s="119">
        <v>3.9596587658909739E-4</v>
      </c>
      <c r="I22" s="21"/>
      <c r="J22" s="119">
        <v>4.1180451165266131E-4</v>
      </c>
    </row>
    <row r="23" spans="2:10" x14ac:dyDescent="0.2">
      <c r="B23" s="61">
        <f t="shared" si="0"/>
        <v>15</v>
      </c>
      <c r="C23" s="140" t="s">
        <v>318</v>
      </c>
      <c r="D23" s="142"/>
      <c r="E23" s="142">
        <v>1.4219092816220229E-3</v>
      </c>
      <c r="F23" s="142">
        <v>1.4219092816220229E-3</v>
      </c>
      <c r="G23" s="21"/>
      <c r="H23" s="119">
        <v>1.4787856528869039E-3</v>
      </c>
      <c r="I23" s="21"/>
      <c r="J23" s="119">
        <v>1.53793707900238E-3</v>
      </c>
    </row>
    <row r="24" spans="2:10" x14ac:dyDescent="0.2">
      <c r="B24" s="61">
        <f t="shared" si="0"/>
        <v>16</v>
      </c>
      <c r="C24" s="140" t="s">
        <v>319</v>
      </c>
      <c r="D24" s="142"/>
      <c r="E24" s="142">
        <v>7.3551407345272192E-5</v>
      </c>
      <c r="F24" s="142">
        <v>7.3551407345272192E-5</v>
      </c>
      <c r="G24" s="21"/>
      <c r="H24" s="119">
        <v>7.6493463639083087E-5</v>
      </c>
      <c r="I24" s="21"/>
      <c r="J24" s="119">
        <v>7.9553202184646414E-5</v>
      </c>
    </row>
    <row r="25" spans="2:10" ht="15.75" customHeight="1" x14ac:dyDescent="0.2">
      <c r="B25" s="61">
        <f t="shared" si="0"/>
        <v>17</v>
      </c>
      <c r="C25" s="140" t="s">
        <v>320</v>
      </c>
      <c r="D25" s="143">
        <f>SUM(D9:D20)</f>
        <v>0</v>
      </c>
      <c r="E25" s="142">
        <v>3.9365206822373246E-3</v>
      </c>
      <c r="F25" s="142">
        <v>3.9365206822373246E-3</v>
      </c>
      <c r="G25" s="29"/>
      <c r="H25" s="114">
        <v>4.0939815095268183E-3</v>
      </c>
      <c r="I25" s="29"/>
      <c r="J25" s="114">
        <v>4.2577407699078912E-3</v>
      </c>
    </row>
    <row r="26" spans="2:10" s="32" customFormat="1" ht="15" x14ac:dyDescent="0.2">
      <c r="B26" s="61">
        <f t="shared" si="0"/>
        <v>18</v>
      </c>
      <c r="C26" s="140" t="s">
        <v>321</v>
      </c>
      <c r="D26" s="143"/>
      <c r="E26" s="142">
        <v>4.2605824469924782E-6</v>
      </c>
      <c r="F26" s="142">
        <v>4.2605824469924782E-6</v>
      </c>
      <c r="G26" s="29"/>
      <c r="H26" s="114">
        <v>2.2621711324295407E-4</v>
      </c>
      <c r="I26" s="29"/>
      <c r="J26" s="114">
        <v>2.3526579777267224E-4</v>
      </c>
    </row>
    <row r="27" spans="2:10" s="32" customFormat="1" ht="15" x14ac:dyDescent="0.2">
      <c r="B27" s="61">
        <f t="shared" si="0"/>
        <v>19</v>
      </c>
      <c r="C27" s="140" t="s">
        <v>322</v>
      </c>
      <c r="D27" s="143"/>
      <c r="E27" s="142">
        <v>3.7200684150513118E-4</v>
      </c>
      <c r="F27" s="142">
        <v>3.7200684150513118E-4</v>
      </c>
      <c r="G27" s="29"/>
      <c r="H27" s="114">
        <v>3.868871151653364E-4</v>
      </c>
      <c r="I27" s="29"/>
      <c r="J27" s="114">
        <v>4.0236259977194985E-4</v>
      </c>
    </row>
    <row r="28" spans="2:10" x14ac:dyDescent="0.2">
      <c r="B28" s="20"/>
      <c r="C28" s="67"/>
      <c r="D28" s="68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123</v>
      </c>
      <c r="D29" s="106">
        <v>0.03</v>
      </c>
      <c r="E29" s="106">
        <f>ROUND(SUM(E9:E27),2)</f>
        <v>0.02</v>
      </c>
      <c r="F29" s="106">
        <f>ROUND(SUM(F9:F27),2)</f>
        <v>0.02</v>
      </c>
      <c r="G29" s="106">
        <v>0.04</v>
      </c>
      <c r="H29" s="106">
        <f>ROUND(SUM(H9:H27),2)</f>
        <v>0.09</v>
      </c>
      <c r="I29" s="106">
        <v>0.04</v>
      </c>
      <c r="J29" s="106">
        <f>ROUND(SUM(J9:J27),2)</f>
        <v>0.1</v>
      </c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34" t="s">
        <v>298</v>
      </c>
      <c r="C2" s="234"/>
      <c r="D2" s="234"/>
      <c r="E2" s="234"/>
      <c r="F2" s="234"/>
    </row>
    <row r="3" spans="2:6" ht="15" x14ac:dyDescent="0.2">
      <c r="B3" s="35"/>
      <c r="C3" s="35"/>
      <c r="D3" s="35" t="str">
        <f>'F1'!$F$3</f>
        <v>Pochampad-II</v>
      </c>
      <c r="E3" s="35"/>
      <c r="F3" s="35"/>
    </row>
    <row r="4" spans="2:6" ht="14.25" customHeight="1" x14ac:dyDescent="0.2">
      <c r="B4" s="234" t="s">
        <v>260</v>
      </c>
      <c r="C4" s="234"/>
      <c r="D4" s="234"/>
      <c r="E4" s="234"/>
      <c r="F4" s="234"/>
    </row>
    <row r="5" spans="2:6" ht="15" x14ac:dyDescent="0.2">
      <c r="B5" s="24"/>
      <c r="C5" s="71"/>
      <c r="D5" s="72"/>
    </row>
    <row r="6" spans="2:6" ht="15" customHeight="1" x14ac:dyDescent="0.2">
      <c r="B6" s="236" t="s">
        <v>2</v>
      </c>
      <c r="C6" s="241" t="s">
        <v>14</v>
      </c>
      <c r="D6" s="122" t="s">
        <v>299</v>
      </c>
      <c r="E6" s="23" t="s">
        <v>300</v>
      </c>
      <c r="F6" s="23" t="s">
        <v>327</v>
      </c>
    </row>
    <row r="7" spans="2:6" ht="15" x14ac:dyDescent="0.2">
      <c r="B7" s="236"/>
      <c r="C7" s="241"/>
      <c r="D7" s="15" t="s">
        <v>259</v>
      </c>
      <c r="E7" s="15" t="s">
        <v>205</v>
      </c>
      <c r="F7" s="15" t="s">
        <v>205</v>
      </c>
    </row>
    <row r="8" spans="2:6" ht="24.75" customHeight="1" x14ac:dyDescent="0.2">
      <c r="B8" s="254"/>
      <c r="C8" s="255"/>
      <c r="D8" s="15" t="s">
        <v>3</v>
      </c>
      <c r="E8" s="15" t="s">
        <v>5</v>
      </c>
      <c r="F8" s="15" t="s">
        <v>8</v>
      </c>
    </row>
    <row r="9" spans="2:6" ht="15" x14ac:dyDescent="0.2">
      <c r="B9" s="73">
        <v>1</v>
      </c>
      <c r="C9" s="74" t="s">
        <v>142</v>
      </c>
      <c r="D9" s="70"/>
      <c r="E9" s="70"/>
      <c r="F9" s="27"/>
    </row>
    <row r="10" spans="2:6" s="32" customFormat="1" ht="15" x14ac:dyDescent="0.2">
      <c r="B10" s="75" t="s">
        <v>41</v>
      </c>
      <c r="C10" s="38" t="s">
        <v>42</v>
      </c>
      <c r="D10" s="76"/>
      <c r="E10" s="38"/>
      <c r="F10" s="38"/>
    </row>
    <row r="11" spans="2:6" s="32" customFormat="1" ht="15" x14ac:dyDescent="0.2">
      <c r="B11" s="77"/>
      <c r="C11" s="29" t="s">
        <v>43</v>
      </c>
      <c r="D11" s="76"/>
      <c r="E11" s="38"/>
      <c r="F11" s="38"/>
    </row>
    <row r="12" spans="2:6" s="32" customFormat="1" ht="15" x14ac:dyDescent="0.2">
      <c r="B12" s="77"/>
      <c r="C12" s="29" t="s">
        <v>44</v>
      </c>
      <c r="D12" s="76"/>
      <c r="E12" s="38"/>
      <c r="F12" s="38"/>
    </row>
    <row r="13" spans="2:6" s="32" customFormat="1" ht="15" x14ac:dyDescent="0.2">
      <c r="B13" s="77"/>
      <c r="C13" s="29" t="s">
        <v>45</v>
      </c>
      <c r="D13" s="76" t="s">
        <v>324</v>
      </c>
      <c r="E13" s="38"/>
      <c r="F13" s="38"/>
    </row>
    <row r="14" spans="2:6" s="32" customFormat="1" ht="15" x14ac:dyDescent="0.2">
      <c r="B14" s="77"/>
      <c r="C14" s="78"/>
      <c r="D14" s="76"/>
      <c r="E14" s="38"/>
      <c r="F14" s="38"/>
    </row>
    <row r="15" spans="2:6" s="32" customFormat="1" ht="15" x14ac:dyDescent="0.2">
      <c r="B15" s="75" t="s">
        <v>46</v>
      </c>
      <c r="C15" s="79" t="s">
        <v>47</v>
      </c>
      <c r="D15" s="76"/>
      <c r="E15" s="38"/>
      <c r="F15" s="38"/>
    </row>
    <row r="16" spans="2:6" s="32" customFormat="1" ht="15" x14ac:dyDescent="0.2">
      <c r="B16" s="77"/>
      <c r="C16" s="29" t="s">
        <v>43</v>
      </c>
      <c r="D16" s="76"/>
      <c r="E16" s="38"/>
      <c r="F16" s="38"/>
    </row>
    <row r="17" spans="2:6" x14ac:dyDescent="0.2">
      <c r="B17" s="77"/>
      <c r="C17" s="29" t="s">
        <v>44</v>
      </c>
      <c r="D17" s="76"/>
      <c r="E17" s="27"/>
      <c r="F17" s="27"/>
    </row>
    <row r="18" spans="2:6" x14ac:dyDescent="0.2">
      <c r="B18" s="80"/>
      <c r="C18" s="29" t="s">
        <v>48</v>
      </c>
      <c r="D18" s="76"/>
      <c r="E18" s="27"/>
      <c r="F18" s="27"/>
    </row>
    <row r="19" spans="2:6" ht="15" x14ac:dyDescent="0.2">
      <c r="B19" s="80"/>
      <c r="C19" s="79"/>
      <c r="D19" s="76"/>
      <c r="E19" s="27"/>
      <c r="F19" s="27"/>
    </row>
    <row r="20" spans="2:6" ht="17.25" customHeight="1" x14ac:dyDescent="0.2">
      <c r="B20" s="75">
        <v>2</v>
      </c>
      <c r="C20" s="74" t="s">
        <v>143</v>
      </c>
      <c r="D20" s="76"/>
      <c r="E20" s="27"/>
      <c r="F20" s="27"/>
    </row>
    <row r="21" spans="2:6" ht="17.25" customHeight="1" x14ac:dyDescent="0.2">
      <c r="B21" s="75"/>
      <c r="C21" s="74" t="s">
        <v>49</v>
      </c>
      <c r="D21" s="76"/>
      <c r="E21" s="27"/>
      <c r="F21" s="27"/>
    </row>
    <row r="22" spans="2:6" ht="17.25" customHeight="1" x14ac:dyDescent="0.2">
      <c r="B22" s="75"/>
      <c r="C22" s="74" t="s">
        <v>49</v>
      </c>
      <c r="D22" s="76"/>
      <c r="E22" s="27"/>
      <c r="F22" s="27"/>
    </row>
    <row r="23" spans="2:6" ht="15" x14ac:dyDescent="0.2">
      <c r="B23" s="77"/>
      <c r="C23" s="79" t="s">
        <v>50</v>
      </c>
      <c r="D23" s="76"/>
      <c r="E23" s="27"/>
      <c r="F23" s="27"/>
    </row>
    <row r="25" spans="2:6" ht="15" x14ac:dyDescent="0.2">
      <c r="B25" s="81" t="s">
        <v>39</v>
      </c>
      <c r="C25" s="82"/>
      <c r="D25" s="82"/>
      <c r="E25" s="82"/>
    </row>
    <row r="26" spans="2:6" x14ac:dyDescent="0.2">
      <c r="B26" s="5" t="s">
        <v>179</v>
      </c>
      <c r="D26" s="83"/>
      <c r="E26" s="82"/>
    </row>
    <row r="27" spans="2:6" ht="18" customHeight="1" x14ac:dyDescent="0.2">
      <c r="B27" s="82"/>
      <c r="E27" s="82"/>
    </row>
    <row r="28" spans="2:6" x14ac:dyDescent="0.2">
      <c r="B28" s="82"/>
      <c r="C28" s="82"/>
      <c r="D28" s="82"/>
      <c r="E28" s="82"/>
    </row>
    <row r="29" spans="2:6" x14ac:dyDescent="0.2">
      <c r="B29" s="82"/>
      <c r="C29" s="82"/>
      <c r="D29" s="82"/>
      <c r="E29" s="82"/>
    </row>
    <row r="30" spans="2:6" x14ac:dyDescent="0.2">
      <c r="B30" s="82"/>
      <c r="C30" s="82"/>
      <c r="D30" s="82"/>
      <c r="E30" s="82"/>
    </row>
    <row r="31" spans="2:6" x14ac:dyDescent="0.2">
      <c r="B31" s="82"/>
      <c r="C31" s="82"/>
      <c r="D31" s="82"/>
      <c r="E31" s="82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view="pageBreakPreview" topLeftCell="A10" zoomScale="81" zoomScaleNormal="93" zoomScaleSheetLayoutView="81" workbookViewId="0">
      <selection activeCell="R33" sqref="R33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90"/>
    </row>
    <row r="2" spans="1:17" ht="14.25" customHeight="1" x14ac:dyDescent="0.2">
      <c r="B2" s="234" t="s">
        <v>298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1:17" ht="14.25" customHeight="1" x14ac:dyDescent="0.2">
      <c r="B3" s="234" t="s">
        <v>335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</row>
    <row r="4" spans="1:17" ht="15" x14ac:dyDescent="0.2">
      <c r="B4" s="234" t="s">
        <v>266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</row>
    <row r="5" spans="1:17" ht="16.5" x14ac:dyDescent="0.2">
      <c r="B5" s="24"/>
      <c r="C5" s="71"/>
      <c r="D5" s="71"/>
      <c r="E5" s="71"/>
      <c r="F5" s="71"/>
      <c r="G5" s="71"/>
      <c r="H5" s="71"/>
      <c r="I5" s="84"/>
    </row>
    <row r="6" spans="1:17" ht="16.5" x14ac:dyDescent="0.2">
      <c r="B6" s="24" t="s">
        <v>299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35"/>
      <c r="P6" s="84"/>
    </row>
    <row r="7" spans="1:17" ht="16.5" x14ac:dyDescent="0.2">
      <c r="A7" s="5" t="s">
        <v>265</v>
      </c>
      <c r="B7" s="24" t="s">
        <v>137</v>
      </c>
      <c r="C7" s="25"/>
      <c r="D7" s="25"/>
      <c r="O7" s="25" t="s">
        <v>124</v>
      </c>
      <c r="P7" s="84"/>
    </row>
    <row r="8" spans="1:17" ht="18.75" customHeight="1" x14ac:dyDescent="0.2">
      <c r="B8" s="237" t="s">
        <v>267</v>
      </c>
      <c r="C8" s="259"/>
      <c r="D8" s="252"/>
      <c r="E8" s="252"/>
      <c r="F8" s="252"/>
      <c r="G8" s="252"/>
      <c r="H8" s="253"/>
      <c r="I8" s="259"/>
      <c r="J8" s="252"/>
      <c r="K8" s="252"/>
      <c r="L8" s="252"/>
      <c r="M8" s="252"/>
      <c r="N8" s="253"/>
      <c r="O8" s="175" t="s">
        <v>138</v>
      </c>
      <c r="P8" s="84"/>
      <c r="Q8" s="84"/>
    </row>
    <row r="9" spans="1:17" ht="15" x14ac:dyDescent="0.2">
      <c r="B9" s="239"/>
      <c r="C9" s="175" t="s">
        <v>125</v>
      </c>
      <c r="D9" s="175" t="s">
        <v>126</v>
      </c>
      <c r="E9" s="176" t="s">
        <v>127</v>
      </c>
      <c r="F9" s="176" t="s">
        <v>128</v>
      </c>
      <c r="G9" s="176" t="s">
        <v>129</v>
      </c>
      <c r="H9" s="176" t="s">
        <v>130</v>
      </c>
      <c r="I9" s="176" t="s">
        <v>131</v>
      </c>
      <c r="J9" s="176" t="s">
        <v>132</v>
      </c>
      <c r="K9" s="176" t="s">
        <v>133</v>
      </c>
      <c r="L9" s="176" t="s">
        <v>134</v>
      </c>
      <c r="M9" s="176" t="s">
        <v>135</v>
      </c>
      <c r="N9" s="176" t="s">
        <v>136</v>
      </c>
      <c r="O9" s="177"/>
    </row>
    <row r="10" spans="1:17" s="32" customFormat="1" ht="15" x14ac:dyDescent="0.2">
      <c r="B10" s="146" t="s">
        <v>336</v>
      </c>
      <c r="C10" s="178">
        <f>0.55*0.7055</f>
        <v>0.38802500000000006</v>
      </c>
      <c r="D10" s="178">
        <v>0</v>
      </c>
      <c r="E10" s="178">
        <v>0</v>
      </c>
      <c r="F10" s="178">
        <v>0</v>
      </c>
      <c r="G10" s="178">
        <v>0</v>
      </c>
      <c r="H10" s="178">
        <f>3.37*0.7055</f>
        <v>2.377535</v>
      </c>
      <c r="I10" s="178">
        <f>4.73*0.7055</f>
        <v>3.3370150000000005</v>
      </c>
      <c r="J10" s="178">
        <v>0</v>
      </c>
      <c r="K10" s="178">
        <v>0</v>
      </c>
      <c r="L10" s="178">
        <f>0.04*0.7055</f>
        <v>2.8220000000000002E-2</v>
      </c>
      <c r="M10" s="178">
        <v>0</v>
      </c>
      <c r="N10" s="178">
        <v>0</v>
      </c>
      <c r="O10" s="178">
        <f>SUM(C10:N10)</f>
        <v>6.130795</v>
      </c>
    </row>
    <row r="11" spans="1:17" s="32" customFormat="1" ht="15" x14ac:dyDescent="0.2">
      <c r="B11" s="146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</row>
    <row r="12" spans="1:17" s="32" customFormat="1" ht="15" x14ac:dyDescent="0.2">
      <c r="B12" s="146" t="s">
        <v>337</v>
      </c>
      <c r="C12" s="178">
        <f>0.55*0.2945</f>
        <v>0.16197500000000001</v>
      </c>
      <c r="D12" s="178">
        <v>0</v>
      </c>
      <c r="E12" s="178">
        <v>0</v>
      </c>
      <c r="F12" s="178">
        <v>0</v>
      </c>
      <c r="G12" s="178">
        <v>0</v>
      </c>
      <c r="H12" s="178">
        <f>3.37*0.2945</f>
        <v>0.99246499999999993</v>
      </c>
      <c r="I12" s="178">
        <f>4.73*0.2945</f>
        <v>1.3929850000000001</v>
      </c>
      <c r="J12" s="178">
        <v>0</v>
      </c>
      <c r="K12" s="178">
        <v>0</v>
      </c>
      <c r="L12" s="178">
        <f>0.04*0.2945</f>
        <v>1.1779999999999999E-2</v>
      </c>
      <c r="M12" s="178">
        <v>0</v>
      </c>
      <c r="N12" s="178">
        <v>0</v>
      </c>
      <c r="O12" s="178">
        <f>SUM(C12:N12)</f>
        <v>2.559205</v>
      </c>
    </row>
    <row r="13" spans="1:17" s="32" customFormat="1" ht="15" x14ac:dyDescent="0.2">
      <c r="B13" s="179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7" ht="15" x14ac:dyDescent="0.2">
      <c r="B14" s="181" t="s">
        <v>123</v>
      </c>
      <c r="C14" s="182">
        <f>C10+C12</f>
        <v>0.55000000000000004</v>
      </c>
      <c r="D14" s="182">
        <f t="shared" ref="D14:N14" si="0">D10+D12</f>
        <v>0</v>
      </c>
      <c r="E14" s="182">
        <f t="shared" si="0"/>
        <v>0</v>
      </c>
      <c r="F14" s="182">
        <f t="shared" si="0"/>
        <v>0</v>
      </c>
      <c r="G14" s="182">
        <f t="shared" si="0"/>
        <v>0</v>
      </c>
      <c r="H14" s="182">
        <f>H10+H12</f>
        <v>3.37</v>
      </c>
      <c r="I14" s="182">
        <f t="shared" si="0"/>
        <v>4.7300000000000004</v>
      </c>
      <c r="J14" s="182">
        <f t="shared" si="0"/>
        <v>0</v>
      </c>
      <c r="K14" s="182">
        <f t="shared" si="0"/>
        <v>0</v>
      </c>
      <c r="L14" s="182">
        <f>L10+L12</f>
        <v>0.04</v>
      </c>
      <c r="M14" s="182">
        <f t="shared" si="0"/>
        <v>0</v>
      </c>
      <c r="N14" s="182">
        <f t="shared" si="0"/>
        <v>0</v>
      </c>
      <c r="O14" s="182">
        <f>O10+O12</f>
        <v>8.69</v>
      </c>
    </row>
    <row r="15" spans="1:17" x14ac:dyDescent="0.2"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</row>
    <row r="16" spans="1:17" ht="16.5" x14ac:dyDescent="0.2">
      <c r="B16" s="2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5"/>
      <c r="P16" s="84"/>
    </row>
    <row r="17" spans="2:15" ht="15" x14ac:dyDescent="0.2">
      <c r="B17" s="24" t="s">
        <v>300</v>
      </c>
      <c r="C17" s="184"/>
      <c r="D17" s="184"/>
      <c r="E17" s="184"/>
      <c r="F17" s="184"/>
      <c r="G17" s="184"/>
      <c r="H17" s="184"/>
      <c r="I17" s="185"/>
      <c r="J17" s="183"/>
      <c r="K17" s="183"/>
      <c r="L17" s="183"/>
      <c r="M17" s="183"/>
      <c r="N17" s="183"/>
      <c r="O17" s="183"/>
    </row>
    <row r="18" spans="2:15" ht="15" x14ac:dyDescent="0.2">
      <c r="B18" s="186"/>
      <c r="C18" s="256" t="s">
        <v>137</v>
      </c>
      <c r="D18" s="257"/>
      <c r="E18" s="257"/>
      <c r="F18" s="257"/>
      <c r="G18" s="257"/>
      <c r="H18" s="258"/>
      <c r="I18" s="256" t="s">
        <v>5</v>
      </c>
      <c r="J18" s="257"/>
      <c r="K18" s="257"/>
      <c r="L18" s="257"/>
      <c r="M18" s="257"/>
      <c r="N18" s="258"/>
      <c r="O18" s="187" t="s">
        <v>124</v>
      </c>
    </row>
    <row r="19" spans="2:15" ht="15" x14ac:dyDescent="0.2">
      <c r="B19" s="175" t="s">
        <v>267</v>
      </c>
      <c r="C19" s="188" t="s">
        <v>125</v>
      </c>
      <c r="D19" s="188" t="s">
        <v>126</v>
      </c>
      <c r="E19" s="189" t="s">
        <v>127</v>
      </c>
      <c r="F19" s="189" t="s">
        <v>128</v>
      </c>
      <c r="G19" s="189" t="s">
        <v>129</v>
      </c>
      <c r="H19" s="189" t="s">
        <v>130</v>
      </c>
      <c r="I19" s="189" t="s">
        <v>131</v>
      </c>
      <c r="J19" s="189" t="s">
        <v>132</v>
      </c>
      <c r="K19" s="189" t="s">
        <v>133</v>
      </c>
      <c r="L19" s="189" t="s">
        <v>134</v>
      </c>
      <c r="M19" s="189" t="s">
        <v>135</v>
      </c>
      <c r="N19" s="189" t="s">
        <v>136</v>
      </c>
      <c r="O19" s="189" t="s">
        <v>123</v>
      </c>
    </row>
    <row r="20" spans="2:15" ht="15" x14ac:dyDescent="0.2">
      <c r="B20" s="146" t="s">
        <v>336</v>
      </c>
      <c r="C20" s="178">
        <v>0</v>
      </c>
      <c r="D20" s="178">
        <v>0</v>
      </c>
      <c r="E20" s="178">
        <v>0</v>
      </c>
      <c r="F20" s="178">
        <v>0</v>
      </c>
      <c r="G20" s="178">
        <f>2.5*0.7055</f>
        <v>1.7637499999999999</v>
      </c>
      <c r="H20" s="178">
        <f>6.05*0.7055</f>
        <v>4.268275</v>
      </c>
      <c r="I20" s="178">
        <v>1.3992416666666667</v>
      </c>
      <c r="J20" s="178">
        <v>0.69962083333333336</v>
      </c>
      <c r="K20" s="178">
        <v>0.69962083333333336</v>
      </c>
      <c r="L20" s="178">
        <v>0.69962083333333336</v>
      </c>
      <c r="M20" s="178">
        <v>0.69962083333333336</v>
      </c>
      <c r="N20" s="178">
        <v>0.69962083333333336</v>
      </c>
      <c r="O20" s="178">
        <f>SUM(C20:N20)</f>
        <v>10.929370833333337</v>
      </c>
    </row>
    <row r="21" spans="2:15" ht="15" x14ac:dyDescent="0.2">
      <c r="B21" s="146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80"/>
    </row>
    <row r="22" spans="2:15" ht="15" x14ac:dyDescent="0.2">
      <c r="B22" s="146" t="s">
        <v>337</v>
      </c>
      <c r="C22" s="178">
        <v>0</v>
      </c>
      <c r="D22" s="178">
        <v>0</v>
      </c>
      <c r="E22" s="178">
        <v>0</v>
      </c>
      <c r="F22" s="178">
        <v>0</v>
      </c>
      <c r="G22" s="178">
        <f>2.5*0.2945</f>
        <v>0.73624999999999996</v>
      </c>
      <c r="H22" s="178">
        <f>6.05*0.2945</f>
        <v>1.7817249999999998</v>
      </c>
      <c r="I22" s="178">
        <v>0.58409166666666668</v>
      </c>
      <c r="J22" s="178">
        <v>0.29204583333333334</v>
      </c>
      <c r="K22" s="178">
        <v>0.29204583333333334</v>
      </c>
      <c r="L22" s="178">
        <v>0.29204583333333334</v>
      </c>
      <c r="M22" s="178">
        <v>0.29204583333333334</v>
      </c>
      <c r="N22" s="178">
        <v>0.29204583333333334</v>
      </c>
      <c r="O22" s="178">
        <f>SUM(C22:N22)</f>
        <v>4.5622958333333337</v>
      </c>
    </row>
    <row r="23" spans="2:15" x14ac:dyDescent="0.2">
      <c r="B23" s="179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</row>
    <row r="24" spans="2:15" ht="15" x14ac:dyDescent="0.2">
      <c r="B24" s="181" t="s">
        <v>123</v>
      </c>
      <c r="C24" s="182">
        <f>C20+C22</f>
        <v>0</v>
      </c>
      <c r="D24" s="182">
        <f t="shared" ref="D24:N24" si="1">D20+D22</f>
        <v>0</v>
      </c>
      <c r="E24" s="182">
        <f t="shared" si="1"/>
        <v>0</v>
      </c>
      <c r="F24" s="182">
        <f t="shared" si="1"/>
        <v>0</v>
      </c>
      <c r="G24" s="182">
        <f t="shared" si="1"/>
        <v>2.5</v>
      </c>
      <c r="H24" s="182">
        <f t="shared" si="1"/>
        <v>6.05</v>
      </c>
      <c r="I24" s="182">
        <f t="shared" si="1"/>
        <v>1.9833333333333334</v>
      </c>
      <c r="J24" s="182">
        <f t="shared" si="1"/>
        <v>0.9916666666666667</v>
      </c>
      <c r="K24" s="182">
        <f>K20+K22</f>
        <v>0.9916666666666667</v>
      </c>
      <c r="L24" s="182">
        <f t="shared" si="1"/>
        <v>0.9916666666666667</v>
      </c>
      <c r="M24" s="182">
        <f t="shared" si="1"/>
        <v>0.9916666666666667</v>
      </c>
      <c r="N24" s="182">
        <f t="shared" si="1"/>
        <v>0.9916666666666667</v>
      </c>
      <c r="O24" s="182">
        <f>O20+O22</f>
        <v>15.491666666666671</v>
      </c>
    </row>
    <row r="25" spans="2:15" ht="15" x14ac:dyDescent="0.2">
      <c r="B25" s="32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</row>
    <row r="26" spans="2:15" ht="15" x14ac:dyDescent="0.2">
      <c r="B26" s="24" t="s">
        <v>327</v>
      </c>
      <c r="C26" s="184"/>
      <c r="D26" s="184"/>
      <c r="E26" s="184"/>
      <c r="F26" s="184"/>
      <c r="G26" s="184"/>
      <c r="H26" s="184"/>
      <c r="I26" s="185"/>
      <c r="J26" s="183"/>
      <c r="K26" s="183"/>
      <c r="L26" s="183"/>
      <c r="M26" s="183"/>
      <c r="N26" s="183"/>
      <c r="O26" s="183"/>
    </row>
    <row r="27" spans="2:15" ht="15" x14ac:dyDescent="0.2">
      <c r="B27" s="24" t="s">
        <v>8</v>
      </c>
      <c r="C27" s="192"/>
      <c r="D27" s="192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93"/>
    </row>
    <row r="28" spans="2:15" ht="15" x14ac:dyDescent="0.2">
      <c r="B28" s="175" t="s">
        <v>267</v>
      </c>
      <c r="C28" s="188" t="s">
        <v>125</v>
      </c>
      <c r="D28" s="188" t="s">
        <v>126</v>
      </c>
      <c r="E28" s="189" t="s">
        <v>127</v>
      </c>
      <c r="F28" s="189" t="s">
        <v>128</v>
      </c>
      <c r="G28" s="189" t="s">
        <v>129</v>
      </c>
      <c r="H28" s="189" t="s">
        <v>130</v>
      </c>
      <c r="I28" s="189" t="s">
        <v>131</v>
      </c>
      <c r="J28" s="189" t="s">
        <v>132</v>
      </c>
      <c r="K28" s="189" t="s">
        <v>133</v>
      </c>
      <c r="L28" s="189" t="s">
        <v>134</v>
      </c>
      <c r="M28" s="189" t="s">
        <v>135</v>
      </c>
      <c r="N28" s="189" t="s">
        <v>136</v>
      </c>
      <c r="O28" s="189" t="s">
        <v>123</v>
      </c>
    </row>
    <row r="29" spans="2:15" ht="15" x14ac:dyDescent="0.2">
      <c r="B29" s="146" t="s">
        <v>336</v>
      </c>
      <c r="C29" s="178">
        <v>0</v>
      </c>
      <c r="D29" s="178">
        <v>0</v>
      </c>
      <c r="E29" s="178">
        <v>0</v>
      </c>
      <c r="F29" s="178">
        <v>0</v>
      </c>
      <c r="G29" s="178">
        <v>2.1023900000000002</v>
      </c>
      <c r="H29" s="178">
        <v>2.8031866666666665</v>
      </c>
      <c r="I29" s="178">
        <v>2.1023900000000002</v>
      </c>
      <c r="J29" s="178">
        <v>0.70079666666666662</v>
      </c>
      <c r="K29" s="178">
        <v>0</v>
      </c>
      <c r="L29" s="178">
        <v>0.35039833333333331</v>
      </c>
      <c r="M29" s="178">
        <v>0.35039833333333331</v>
      </c>
      <c r="N29" s="178">
        <v>0</v>
      </c>
      <c r="O29" s="194">
        <f>SUM(C29:N29)</f>
        <v>8.409559999999999</v>
      </c>
    </row>
    <row r="30" spans="2:15" ht="15" x14ac:dyDescent="0.2">
      <c r="B30" s="146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94"/>
    </row>
    <row r="31" spans="2:15" ht="15" x14ac:dyDescent="0.2">
      <c r="B31" s="146" t="s">
        <v>337</v>
      </c>
      <c r="C31" s="178">
        <v>0</v>
      </c>
      <c r="D31" s="178">
        <v>0</v>
      </c>
      <c r="E31" s="178">
        <v>0</v>
      </c>
      <c r="F31" s="178">
        <v>0</v>
      </c>
      <c r="G31" s="178">
        <v>0.87761</v>
      </c>
      <c r="H31" s="178">
        <v>1.1701466666666664</v>
      </c>
      <c r="I31" s="178">
        <v>0.87761</v>
      </c>
      <c r="J31" s="178">
        <v>0.29253666666666661</v>
      </c>
      <c r="K31" s="178">
        <v>0</v>
      </c>
      <c r="L31" s="178">
        <v>0.14626833333333331</v>
      </c>
      <c r="M31" s="178">
        <v>0.14626833333333331</v>
      </c>
      <c r="N31" s="178">
        <v>0</v>
      </c>
      <c r="O31" s="194">
        <f>SUM(C31:N31)</f>
        <v>3.5104399999999996</v>
      </c>
    </row>
    <row r="32" spans="2:15" x14ac:dyDescent="0.2">
      <c r="B32" s="179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</row>
    <row r="33" spans="2:15" ht="15" x14ac:dyDescent="0.2">
      <c r="B33" s="181" t="s">
        <v>123</v>
      </c>
      <c r="C33" s="195">
        <f t="shared" ref="C33:N33" si="2">C29+C31</f>
        <v>0</v>
      </c>
      <c r="D33" s="195">
        <f t="shared" si="2"/>
        <v>0</v>
      </c>
      <c r="E33" s="195">
        <f t="shared" si="2"/>
        <v>0</v>
      </c>
      <c r="F33" s="195">
        <f t="shared" si="2"/>
        <v>0</v>
      </c>
      <c r="G33" s="195">
        <f t="shared" si="2"/>
        <v>2.9800000000000004</v>
      </c>
      <c r="H33" s="195">
        <f t="shared" si="2"/>
        <v>3.9733333333333327</v>
      </c>
      <c r="I33" s="195">
        <f t="shared" si="2"/>
        <v>2.9800000000000004</v>
      </c>
      <c r="J33" s="195">
        <f t="shared" si="2"/>
        <v>0.99333333333333318</v>
      </c>
      <c r="K33" s="195">
        <f t="shared" si="2"/>
        <v>0</v>
      </c>
      <c r="L33" s="195">
        <f t="shared" si="2"/>
        <v>0.49666666666666659</v>
      </c>
      <c r="M33" s="195">
        <f t="shared" si="2"/>
        <v>0.49666666666666659</v>
      </c>
      <c r="N33" s="195">
        <f t="shared" si="2"/>
        <v>0</v>
      </c>
      <c r="O33" s="195">
        <f t="shared" ref="O33" si="3">O29+O31</f>
        <v>11.919999999999998</v>
      </c>
    </row>
  </sheetData>
  <mergeCells count="8">
    <mergeCell ref="C18:H18"/>
    <mergeCell ref="I18:N18"/>
    <mergeCell ref="B2:O2"/>
    <mergeCell ref="B3:O3"/>
    <mergeCell ref="B4:O4"/>
    <mergeCell ref="B8:B9"/>
    <mergeCell ref="C8:H8"/>
    <mergeCell ref="I8:N8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showGridLines="0" view="pageBreakPreview" topLeftCell="A17" zoomScaleNormal="93" zoomScaleSheetLayoutView="100" workbookViewId="0">
      <selection activeCell="Q29" sqref="Q29"/>
    </sheetView>
  </sheetViews>
  <sheetFormatPr defaultColWidth="9.28515625" defaultRowHeight="15" x14ac:dyDescent="0.2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0.42578125" style="26" customWidth="1"/>
    <col min="18" max="16384" width="9.28515625" style="13"/>
  </cols>
  <sheetData>
    <row r="1" spans="2:17" s="5" customFormat="1" ht="15" customHeight="1" x14ac:dyDescent="0.2">
      <c r="Q1" s="25"/>
    </row>
    <row r="2" spans="2:17" s="5" customFormat="1" ht="15" customHeight="1" x14ac:dyDescent="0.2">
      <c r="I2" s="32" t="s">
        <v>298</v>
      </c>
      <c r="Q2" s="25"/>
    </row>
    <row r="3" spans="2:17" s="5" customFormat="1" ht="15" customHeight="1" x14ac:dyDescent="0.2">
      <c r="I3" s="32" t="str">
        <f>'F1'!$F$3</f>
        <v>Pochampad-II</v>
      </c>
      <c r="Q3" s="25"/>
    </row>
    <row r="4" spans="2:17" x14ac:dyDescent="0.2">
      <c r="B4" s="24" t="s">
        <v>299</v>
      </c>
      <c r="I4" s="35" t="s">
        <v>270</v>
      </c>
    </row>
    <row r="5" spans="2:17" x14ac:dyDescent="0.2">
      <c r="B5" s="36" t="s">
        <v>12</v>
      </c>
    </row>
    <row r="6" spans="2:17" ht="30" x14ac:dyDescent="0.2">
      <c r="B6" s="92" t="s">
        <v>164</v>
      </c>
      <c r="C6" s="92" t="s">
        <v>14</v>
      </c>
      <c r="D6" s="92" t="s">
        <v>35</v>
      </c>
      <c r="E6" s="31" t="s">
        <v>125</v>
      </c>
      <c r="F6" s="31" t="s">
        <v>126</v>
      </c>
      <c r="G6" s="91" t="s">
        <v>127</v>
      </c>
      <c r="H6" s="91" t="s">
        <v>128</v>
      </c>
      <c r="I6" s="91" t="s">
        <v>129</v>
      </c>
      <c r="J6" s="91" t="s">
        <v>130</v>
      </c>
      <c r="K6" s="91" t="s">
        <v>131</v>
      </c>
      <c r="L6" s="91" t="s">
        <v>132</v>
      </c>
      <c r="M6" s="91" t="s">
        <v>133</v>
      </c>
      <c r="N6" s="91" t="s">
        <v>134</v>
      </c>
      <c r="O6" s="91" t="s">
        <v>135</v>
      </c>
      <c r="P6" s="91" t="s">
        <v>136</v>
      </c>
      <c r="Q6" s="206" t="s">
        <v>123</v>
      </c>
    </row>
    <row r="7" spans="2:17" ht="16.5" x14ac:dyDescent="0.2">
      <c r="B7" s="93">
        <v>1</v>
      </c>
      <c r="C7" s="94" t="s">
        <v>147</v>
      </c>
      <c r="D7" s="93" t="s">
        <v>36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209"/>
    </row>
    <row r="8" spans="2:17" ht="16.5" x14ac:dyDescent="0.2">
      <c r="B8" s="93">
        <f>B7+1</f>
        <v>2</v>
      </c>
      <c r="C8" s="94" t="s">
        <v>165</v>
      </c>
      <c r="D8" s="93" t="s">
        <v>36</v>
      </c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209"/>
    </row>
    <row r="9" spans="2:17" ht="16.5" x14ac:dyDescent="0.2">
      <c r="B9" s="93">
        <f t="shared" ref="B9:B25" si="0">B8+1</f>
        <v>3</v>
      </c>
      <c r="C9" s="94" t="s">
        <v>166</v>
      </c>
      <c r="D9" s="93" t="s">
        <v>36</v>
      </c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209"/>
    </row>
    <row r="10" spans="2:17" ht="16.5" x14ac:dyDescent="0.2">
      <c r="B10" s="93">
        <f t="shared" si="0"/>
        <v>4</v>
      </c>
      <c r="C10" s="94" t="s">
        <v>37</v>
      </c>
      <c r="D10" s="93" t="s">
        <v>36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209"/>
    </row>
    <row r="11" spans="2:17" ht="16.5" x14ac:dyDescent="0.2">
      <c r="B11" s="93">
        <f t="shared" si="0"/>
        <v>5</v>
      </c>
      <c r="C11" s="94" t="s">
        <v>167</v>
      </c>
      <c r="D11" s="93" t="s">
        <v>36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209"/>
    </row>
    <row r="12" spans="2:17" ht="16.5" x14ac:dyDescent="0.2">
      <c r="B12" s="93">
        <f t="shared" si="0"/>
        <v>6</v>
      </c>
      <c r="C12" s="94" t="s">
        <v>168</v>
      </c>
      <c r="D12" s="93" t="s">
        <v>36</v>
      </c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209"/>
    </row>
    <row r="13" spans="2:17" ht="17.25" x14ac:dyDescent="0.2">
      <c r="B13" s="93">
        <f t="shared" si="0"/>
        <v>7</v>
      </c>
      <c r="C13" s="89" t="s">
        <v>169</v>
      </c>
      <c r="D13" s="96" t="s">
        <v>38</v>
      </c>
      <c r="E13" s="173">
        <v>0.56999999999999995</v>
      </c>
      <c r="F13" s="173">
        <v>0</v>
      </c>
      <c r="G13" s="173">
        <v>0</v>
      </c>
      <c r="H13" s="173">
        <v>0</v>
      </c>
      <c r="I13" s="173">
        <v>0</v>
      </c>
      <c r="J13" s="173">
        <v>3.42</v>
      </c>
      <c r="K13" s="173">
        <v>4.8099999999999996</v>
      </c>
      <c r="L13" s="173">
        <v>0</v>
      </c>
      <c r="M13" s="173">
        <v>0</v>
      </c>
      <c r="N13" s="173">
        <v>0.04</v>
      </c>
      <c r="O13" s="173">
        <v>0</v>
      </c>
      <c r="P13" s="173">
        <v>0</v>
      </c>
      <c r="Q13" s="172">
        <f>SUM(E13:P13)</f>
        <v>8.8399999999999981</v>
      </c>
    </row>
    <row r="14" spans="2:17" ht="17.25" x14ac:dyDescent="0.2">
      <c r="B14" s="93">
        <f t="shared" si="0"/>
        <v>8</v>
      </c>
      <c r="C14" s="89" t="s">
        <v>170</v>
      </c>
      <c r="D14" s="96" t="s">
        <v>38</v>
      </c>
      <c r="E14" s="173">
        <v>0.02</v>
      </c>
      <c r="F14" s="173">
        <v>0</v>
      </c>
      <c r="G14" s="173">
        <v>0</v>
      </c>
      <c r="H14" s="173">
        <v>0</v>
      </c>
      <c r="I14" s="173">
        <v>0</v>
      </c>
      <c r="J14" s="173">
        <v>0.06</v>
      </c>
      <c r="K14" s="173">
        <v>0.08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72">
        <f t="shared" ref="Q14:Q24" si="1">SUM(E14:P14)</f>
        <v>0.16</v>
      </c>
    </row>
    <row r="15" spans="2:17" ht="17.25" x14ac:dyDescent="0.2">
      <c r="B15" s="93">
        <f t="shared" si="0"/>
        <v>9</v>
      </c>
      <c r="C15" s="89" t="s">
        <v>183</v>
      </c>
      <c r="D15" s="96" t="s">
        <v>38</v>
      </c>
      <c r="E15" s="173">
        <v>0.54999999999999993</v>
      </c>
      <c r="F15" s="173">
        <v>0</v>
      </c>
      <c r="G15" s="173">
        <v>0</v>
      </c>
      <c r="H15" s="173">
        <v>0</v>
      </c>
      <c r="I15" s="173">
        <v>0</v>
      </c>
      <c r="J15" s="173">
        <v>3.36</v>
      </c>
      <c r="K15" s="173">
        <v>4.7299999999999995</v>
      </c>
      <c r="L15" s="173">
        <v>0</v>
      </c>
      <c r="M15" s="173">
        <v>0</v>
      </c>
      <c r="N15" s="173">
        <v>0.04</v>
      </c>
      <c r="O15" s="173">
        <v>0</v>
      </c>
      <c r="P15" s="173">
        <v>0</v>
      </c>
      <c r="Q15" s="172">
        <f t="shared" si="1"/>
        <v>8.6799999999999979</v>
      </c>
    </row>
    <row r="16" spans="2:17" ht="17.25" x14ac:dyDescent="0.2">
      <c r="B16" s="93">
        <f t="shared" si="0"/>
        <v>10</v>
      </c>
      <c r="C16" s="89" t="s">
        <v>184</v>
      </c>
      <c r="D16" s="96" t="s">
        <v>38</v>
      </c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172"/>
    </row>
    <row r="17" spans="2:17" ht="17.25" x14ac:dyDescent="0.2">
      <c r="B17" s="93">
        <f t="shared" si="0"/>
        <v>11</v>
      </c>
      <c r="C17" s="89" t="s">
        <v>171</v>
      </c>
      <c r="D17" s="96" t="s">
        <v>175</v>
      </c>
      <c r="E17" s="208">
        <v>0</v>
      </c>
      <c r="F17" s="208">
        <v>0</v>
      </c>
      <c r="G17" s="208">
        <v>0</v>
      </c>
      <c r="H17" s="208">
        <v>0</v>
      </c>
      <c r="I17" s="208">
        <v>0</v>
      </c>
      <c r="J17" s="208">
        <v>0</v>
      </c>
      <c r="K17" s="208">
        <v>0</v>
      </c>
      <c r="L17" s="208">
        <v>0</v>
      </c>
      <c r="M17" s="208">
        <v>0</v>
      </c>
      <c r="N17" s="208">
        <v>0</v>
      </c>
      <c r="O17" s="208">
        <v>0</v>
      </c>
      <c r="P17" s="208">
        <v>0</v>
      </c>
      <c r="Q17" s="172"/>
    </row>
    <row r="18" spans="2:17" ht="17.25" x14ac:dyDescent="0.2">
      <c r="B18" s="93">
        <f t="shared" si="0"/>
        <v>12</v>
      </c>
      <c r="C18" s="89" t="s">
        <v>185</v>
      </c>
      <c r="D18" s="96" t="s">
        <v>176</v>
      </c>
      <c r="E18" s="173">
        <v>0.80500000000000005</v>
      </c>
      <c r="F18" s="173">
        <v>0.80500000000000005</v>
      </c>
      <c r="G18" s="173">
        <v>0.80500000000000005</v>
      </c>
      <c r="H18" s="173">
        <v>0.80500000000000005</v>
      </c>
      <c r="I18" s="173">
        <v>0.80500000000000005</v>
      </c>
      <c r="J18" s="173">
        <v>0.80500000000000005</v>
      </c>
      <c r="K18" s="173">
        <v>0.80500000000000005</v>
      </c>
      <c r="L18" s="173">
        <v>0.80500000000000005</v>
      </c>
      <c r="M18" s="173">
        <v>0.80500000000000005</v>
      </c>
      <c r="N18" s="173">
        <v>0.80500000000000005</v>
      </c>
      <c r="O18" s="173">
        <v>0.80500000000000005</v>
      </c>
      <c r="P18" s="173">
        <v>0.80500000000000005</v>
      </c>
      <c r="Q18" s="172">
        <f t="shared" si="1"/>
        <v>9.6599999999999984</v>
      </c>
    </row>
    <row r="19" spans="2:17" ht="17.25" x14ac:dyDescent="0.2">
      <c r="B19" s="93">
        <f t="shared" si="0"/>
        <v>13</v>
      </c>
      <c r="C19" s="89" t="s">
        <v>268</v>
      </c>
      <c r="D19" s="96" t="s">
        <v>175</v>
      </c>
      <c r="E19" s="208">
        <v>0</v>
      </c>
      <c r="F19" s="208">
        <v>0</v>
      </c>
      <c r="G19" s="208">
        <v>0</v>
      </c>
      <c r="H19" s="208">
        <v>0</v>
      </c>
      <c r="I19" s="208">
        <v>0</v>
      </c>
      <c r="J19" s="208">
        <v>0</v>
      </c>
      <c r="K19" s="208">
        <v>0</v>
      </c>
      <c r="L19" s="208">
        <v>0</v>
      </c>
      <c r="M19" s="208">
        <v>0</v>
      </c>
      <c r="N19" s="208">
        <v>0</v>
      </c>
      <c r="O19" s="208">
        <v>0</v>
      </c>
      <c r="P19" s="208">
        <v>0</v>
      </c>
      <c r="Q19" s="172"/>
    </row>
    <row r="20" spans="2:17" ht="17.25" x14ac:dyDescent="0.2">
      <c r="B20" s="93">
        <f t="shared" si="0"/>
        <v>14</v>
      </c>
      <c r="C20" s="89" t="s">
        <v>172</v>
      </c>
      <c r="D20" s="96" t="s">
        <v>176</v>
      </c>
      <c r="E20" s="173">
        <v>0.80500000000000005</v>
      </c>
      <c r="F20" s="173">
        <v>0.80500000000000005</v>
      </c>
      <c r="G20" s="173">
        <v>0.80500000000000005</v>
      </c>
      <c r="H20" s="173">
        <v>0.80500000000000005</v>
      </c>
      <c r="I20" s="173">
        <v>0.80500000000000005</v>
      </c>
      <c r="J20" s="173">
        <v>0.80500000000000005</v>
      </c>
      <c r="K20" s="173">
        <v>0.80500000000000005</v>
      </c>
      <c r="L20" s="173">
        <v>0.80500000000000005</v>
      </c>
      <c r="M20" s="173">
        <v>0.80500000000000005</v>
      </c>
      <c r="N20" s="173">
        <v>0.80500000000000005</v>
      </c>
      <c r="O20" s="173">
        <v>0.80500000000000005</v>
      </c>
      <c r="P20" s="173">
        <v>0.80500000000000005</v>
      </c>
      <c r="Q20" s="172">
        <f t="shared" si="1"/>
        <v>9.6599999999999984</v>
      </c>
    </row>
    <row r="21" spans="2:17" ht="17.25" x14ac:dyDescent="0.2">
      <c r="B21" s="93">
        <f t="shared" si="0"/>
        <v>15</v>
      </c>
      <c r="C21" s="89" t="s">
        <v>269</v>
      </c>
      <c r="D21" s="96" t="s">
        <v>176</v>
      </c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8">
        <v>0</v>
      </c>
      <c r="K21" s="208">
        <v>0</v>
      </c>
      <c r="L21" s="208">
        <v>0</v>
      </c>
      <c r="M21" s="208">
        <v>0</v>
      </c>
      <c r="N21" s="208">
        <v>0</v>
      </c>
      <c r="O21" s="208">
        <v>0</v>
      </c>
      <c r="P21" s="208">
        <v>0</v>
      </c>
      <c r="Q21" s="172"/>
    </row>
    <row r="22" spans="2:17" ht="17.25" x14ac:dyDescent="0.2">
      <c r="B22" s="93">
        <f t="shared" si="0"/>
        <v>16</v>
      </c>
      <c r="C22" s="89" t="s">
        <v>186</v>
      </c>
      <c r="D22" s="96" t="s">
        <v>176</v>
      </c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8">
        <v>0</v>
      </c>
      <c r="K22" s="208">
        <v>0</v>
      </c>
      <c r="L22" s="208">
        <v>0</v>
      </c>
      <c r="M22" s="208">
        <v>0</v>
      </c>
      <c r="N22" s="208">
        <v>0</v>
      </c>
      <c r="O22" s="208">
        <v>0</v>
      </c>
      <c r="P22" s="208">
        <v>0</v>
      </c>
      <c r="Q22" s="172"/>
    </row>
    <row r="23" spans="2:17" ht="17.25" x14ac:dyDescent="0.2">
      <c r="B23" s="93">
        <f t="shared" si="0"/>
        <v>17</v>
      </c>
      <c r="C23" s="89" t="s">
        <v>173</v>
      </c>
      <c r="D23" s="96" t="s">
        <v>176</v>
      </c>
      <c r="E23" s="208">
        <v>0</v>
      </c>
      <c r="F23" s="208">
        <v>0</v>
      </c>
      <c r="G23" s="208">
        <v>0</v>
      </c>
      <c r="H23" s="208">
        <v>0</v>
      </c>
      <c r="I23" s="208">
        <v>0</v>
      </c>
      <c r="J23" s="208">
        <v>0</v>
      </c>
      <c r="K23" s="208">
        <v>0</v>
      </c>
      <c r="L23" s="208">
        <v>0</v>
      </c>
      <c r="M23" s="208">
        <v>0</v>
      </c>
      <c r="N23" s="208">
        <v>0</v>
      </c>
      <c r="O23" s="208">
        <v>0</v>
      </c>
      <c r="P23" s="208">
        <v>0</v>
      </c>
      <c r="Q23" s="172"/>
    </row>
    <row r="24" spans="2:17" ht="17.25" x14ac:dyDescent="0.2">
      <c r="B24" s="93">
        <f t="shared" si="0"/>
        <v>18</v>
      </c>
      <c r="C24" s="98" t="s">
        <v>139</v>
      </c>
      <c r="D24" s="96" t="s">
        <v>176</v>
      </c>
      <c r="E24" s="172">
        <v>0.80500000000000005</v>
      </c>
      <c r="F24" s="172">
        <v>0.80500000000000005</v>
      </c>
      <c r="G24" s="172">
        <v>0.80500000000000005</v>
      </c>
      <c r="H24" s="172">
        <v>0.80500000000000005</v>
      </c>
      <c r="I24" s="172">
        <v>0.80500000000000005</v>
      </c>
      <c r="J24" s="172">
        <v>0.80500000000000005</v>
      </c>
      <c r="K24" s="172">
        <v>0.80500000000000005</v>
      </c>
      <c r="L24" s="172">
        <v>0.80500000000000005</v>
      </c>
      <c r="M24" s="172">
        <v>0.80500000000000005</v>
      </c>
      <c r="N24" s="172">
        <v>0.80500000000000005</v>
      </c>
      <c r="O24" s="172">
        <v>0.80500000000000005</v>
      </c>
      <c r="P24" s="172">
        <v>0.80500000000000005</v>
      </c>
      <c r="Q24" s="172">
        <f t="shared" si="1"/>
        <v>9.6599999999999984</v>
      </c>
    </row>
    <row r="25" spans="2:17" ht="17.25" x14ac:dyDescent="0.2">
      <c r="B25" s="210">
        <f t="shared" si="0"/>
        <v>19</v>
      </c>
      <c r="C25" s="211" t="s">
        <v>174</v>
      </c>
      <c r="D25" s="96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2"/>
    </row>
    <row r="26" spans="2:17" ht="17.25" x14ac:dyDescent="0.2">
      <c r="B26" s="210"/>
      <c r="C26" s="212" t="s">
        <v>338</v>
      </c>
      <c r="D26" s="145" t="s">
        <v>176</v>
      </c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2">
        <v>0.03</v>
      </c>
    </row>
    <row r="27" spans="2:17" ht="17.25" x14ac:dyDescent="0.2">
      <c r="B27" s="210"/>
      <c r="C27" s="212" t="s">
        <v>89</v>
      </c>
      <c r="D27" s="145" t="s">
        <v>176</v>
      </c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2">
        <v>0</v>
      </c>
    </row>
    <row r="28" spans="2:17" ht="17.25" x14ac:dyDescent="0.2">
      <c r="B28" s="213">
        <f>B25+1</f>
        <v>20</v>
      </c>
      <c r="C28" s="214" t="s">
        <v>146</v>
      </c>
      <c r="D28" s="145" t="s">
        <v>176</v>
      </c>
      <c r="E28" s="172">
        <v>0.80500000000000005</v>
      </c>
      <c r="F28" s="172">
        <v>0.80500000000000005</v>
      </c>
      <c r="G28" s="172">
        <v>0.80500000000000005</v>
      </c>
      <c r="H28" s="172">
        <v>0.80500000000000005</v>
      </c>
      <c r="I28" s="172">
        <v>0.80500000000000005</v>
      </c>
      <c r="J28" s="172">
        <v>0.80500000000000005</v>
      </c>
      <c r="K28" s="172">
        <v>0.80500000000000005</v>
      </c>
      <c r="L28" s="172">
        <v>0.80500000000000005</v>
      </c>
      <c r="M28" s="172">
        <v>0.80500000000000005</v>
      </c>
      <c r="N28" s="172">
        <v>0.80500000000000005</v>
      </c>
      <c r="O28" s="172">
        <v>0.80500000000000005</v>
      </c>
      <c r="P28" s="172">
        <v>0.80500000000000005</v>
      </c>
      <c r="Q28" s="172">
        <f>Q24+Q26+Q27</f>
        <v>9.6899999999999977</v>
      </c>
    </row>
    <row r="29" spans="2:17" ht="34.5" x14ac:dyDescent="0.2">
      <c r="B29" s="213">
        <f>B28+1</f>
        <v>21</v>
      </c>
      <c r="C29" s="211" t="s">
        <v>177</v>
      </c>
      <c r="D29" s="145" t="s">
        <v>176</v>
      </c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209"/>
    </row>
  </sheetData>
  <pageMargins left="0.2" right="0.2" top="0.25" bottom="0.2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2"/>
  <sheetViews>
    <sheetView showGridLines="0" topLeftCell="A5" zoomScale="93" zoomScaleNormal="93" zoomScaleSheetLayoutView="91" workbookViewId="0">
      <selection activeCell="F10" sqref="F10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2.140625" style="13" customWidth="1"/>
    <col min="9" max="9" width="13.42578125" style="13" customWidth="1"/>
    <col min="10" max="10" width="11.140625" style="13" customWidth="1"/>
    <col min="11" max="11" width="11.5703125" style="13" customWidth="1"/>
    <col min="12" max="12" width="13.5703125" style="13" customWidth="1"/>
    <col min="13" max="13" width="10.5703125" style="13" customWidth="1"/>
    <col min="14" max="16384" width="9.28515625" style="13"/>
  </cols>
  <sheetData>
    <row r="2" spans="2:14" ht="15" x14ac:dyDescent="0.2">
      <c r="C2" s="5"/>
      <c r="D2" s="5"/>
      <c r="E2" s="5"/>
      <c r="F2" s="32" t="s">
        <v>298</v>
      </c>
      <c r="G2" s="5"/>
      <c r="H2" s="5"/>
      <c r="I2" s="5"/>
      <c r="J2" s="5"/>
      <c r="K2" s="5"/>
      <c r="L2" s="5"/>
      <c r="M2" s="5"/>
    </row>
    <row r="3" spans="2:14" ht="15" x14ac:dyDescent="0.2">
      <c r="C3" s="5"/>
      <c r="D3" s="5"/>
      <c r="E3" s="5"/>
      <c r="F3" s="32" t="s">
        <v>329</v>
      </c>
      <c r="G3" s="5"/>
      <c r="H3" s="5"/>
      <c r="I3" s="5"/>
      <c r="J3" s="5"/>
      <c r="K3" s="5"/>
      <c r="L3" s="5"/>
      <c r="M3" s="5"/>
    </row>
    <row r="4" spans="2:14" s="4" customFormat="1" ht="15.75" x14ac:dyDescent="0.2">
      <c r="C4" s="5"/>
      <c r="D4" s="5"/>
      <c r="F4" s="66" t="s">
        <v>302</v>
      </c>
      <c r="G4" s="5"/>
      <c r="H4" s="5"/>
      <c r="I4" s="5"/>
      <c r="J4" s="5"/>
      <c r="K4" s="5"/>
      <c r="L4" s="5"/>
      <c r="M4" s="5"/>
    </row>
    <row r="6" spans="2:14" ht="12.75" customHeight="1" x14ac:dyDescent="0.2">
      <c r="B6" s="224" t="s">
        <v>164</v>
      </c>
      <c r="C6" s="227" t="s">
        <v>14</v>
      </c>
      <c r="D6" s="221" t="s">
        <v>35</v>
      </c>
      <c r="E6" s="227" t="s">
        <v>1</v>
      </c>
      <c r="F6" s="231" t="s">
        <v>299</v>
      </c>
      <c r="G6" s="232"/>
      <c r="H6" s="233"/>
      <c r="I6" s="231" t="s">
        <v>300</v>
      </c>
      <c r="J6" s="233"/>
      <c r="K6" s="231" t="s">
        <v>327</v>
      </c>
      <c r="L6" s="233"/>
      <c r="M6" s="229" t="s">
        <v>11</v>
      </c>
    </row>
    <row r="7" spans="2:14" ht="60" customHeight="1" x14ac:dyDescent="0.2">
      <c r="B7" s="225"/>
      <c r="C7" s="227"/>
      <c r="D7" s="222"/>
      <c r="E7" s="227"/>
      <c r="F7" s="15" t="s">
        <v>271</v>
      </c>
      <c r="G7" s="15" t="s">
        <v>196</v>
      </c>
      <c r="H7" s="15" t="s">
        <v>326</v>
      </c>
      <c r="I7" s="15" t="s">
        <v>271</v>
      </c>
      <c r="J7" s="15" t="s">
        <v>198</v>
      </c>
      <c r="K7" s="15" t="s">
        <v>271</v>
      </c>
      <c r="L7" s="15" t="s">
        <v>198</v>
      </c>
      <c r="M7" s="229"/>
    </row>
    <row r="8" spans="2:14" ht="30" x14ac:dyDescent="0.2">
      <c r="B8" s="226"/>
      <c r="C8" s="228"/>
      <c r="D8" s="223"/>
      <c r="E8" s="228"/>
      <c r="F8" s="15" t="s">
        <v>10</v>
      </c>
      <c r="G8" s="15" t="s">
        <v>12</v>
      </c>
      <c r="H8" s="15" t="s">
        <v>197</v>
      </c>
      <c r="I8" s="15" t="s">
        <v>10</v>
      </c>
      <c r="J8" s="15" t="s">
        <v>323</v>
      </c>
      <c r="K8" s="15" t="s">
        <v>10</v>
      </c>
      <c r="L8" s="15" t="s">
        <v>323</v>
      </c>
      <c r="M8" s="230"/>
    </row>
    <row r="9" spans="2:14" ht="15" x14ac:dyDescent="0.2">
      <c r="B9" s="22" t="s">
        <v>51</v>
      </c>
      <c r="C9" s="23" t="s">
        <v>201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4" ht="15" x14ac:dyDescent="0.2">
      <c r="B10" s="2">
        <v>1</v>
      </c>
      <c r="C10" s="3" t="s">
        <v>32</v>
      </c>
      <c r="D10" s="2" t="s">
        <v>176</v>
      </c>
      <c r="E10" s="17" t="s">
        <v>232</v>
      </c>
      <c r="F10" s="155">
        <f>'F2'!E14</f>
        <v>6.99</v>
      </c>
      <c r="G10" s="155">
        <f>'F2'!F14</f>
        <v>8.73</v>
      </c>
      <c r="H10" s="155">
        <f>'F2'!G14</f>
        <v>8.73</v>
      </c>
      <c r="I10" s="155">
        <f>'F2'!H14</f>
        <v>7.39</v>
      </c>
      <c r="J10" s="155">
        <f>'F2'!I14</f>
        <v>9.1199999999999992</v>
      </c>
      <c r="K10" s="155">
        <f>'F2'!J14</f>
        <v>7.81</v>
      </c>
      <c r="L10" s="155">
        <f>'F2'!K14</f>
        <v>9.51</v>
      </c>
      <c r="M10" s="115"/>
      <c r="N10" s="163"/>
    </row>
    <row r="11" spans="2:14" ht="15" x14ac:dyDescent="0.2">
      <c r="B11" s="2">
        <f t="shared" ref="B11:B16" si="0">B10+1</f>
        <v>2</v>
      </c>
      <c r="C11" s="18" t="s">
        <v>144</v>
      </c>
      <c r="D11" s="2" t="s">
        <v>176</v>
      </c>
      <c r="E11" s="17" t="s">
        <v>19</v>
      </c>
      <c r="F11" s="156">
        <v>0.72</v>
      </c>
      <c r="G11" s="156">
        <f>H11</f>
        <v>0.57999999999999996</v>
      </c>
      <c r="H11" s="155">
        <f>'F4'!K16</f>
        <v>0.57999999999999996</v>
      </c>
      <c r="I11" s="157">
        <v>0.57999999999999996</v>
      </c>
      <c r="J11" s="155">
        <f>'F4'!K27</f>
        <v>0.57999999999999996</v>
      </c>
      <c r="K11" s="157">
        <v>0.57999999999999996</v>
      </c>
      <c r="L11" s="155">
        <f>'F4'!K38</f>
        <v>0.57999999999999996</v>
      </c>
      <c r="M11" s="115"/>
      <c r="N11" s="163"/>
    </row>
    <row r="12" spans="2:14" ht="15" x14ac:dyDescent="0.2">
      <c r="B12" s="2">
        <f t="shared" si="0"/>
        <v>3</v>
      </c>
      <c r="C12" s="3" t="s">
        <v>199</v>
      </c>
      <c r="D12" s="2" t="s">
        <v>176</v>
      </c>
      <c r="E12" s="16" t="s">
        <v>25</v>
      </c>
      <c r="F12" s="155">
        <f>'F5'!D21</f>
        <v>0.65</v>
      </c>
      <c r="G12" s="155">
        <f>'F5'!E21</f>
        <v>0.89</v>
      </c>
      <c r="H12" s="155">
        <f>'F5'!F21</f>
        <v>0.89</v>
      </c>
      <c r="I12" s="155">
        <f>'F5'!G21</f>
        <v>0.57999999999999996</v>
      </c>
      <c r="J12" s="155">
        <f>'F5'!H21</f>
        <v>0.83</v>
      </c>
      <c r="K12" s="155">
        <f>'F5'!I21</f>
        <v>0.51</v>
      </c>
      <c r="L12" s="155">
        <f>'F5'!J21</f>
        <v>0.78</v>
      </c>
      <c r="M12" s="115"/>
      <c r="N12" s="163"/>
    </row>
    <row r="13" spans="2:14" ht="15" x14ac:dyDescent="0.2">
      <c r="B13" s="2">
        <f t="shared" si="0"/>
        <v>4</v>
      </c>
      <c r="C13" s="18" t="s">
        <v>33</v>
      </c>
      <c r="D13" s="2" t="s">
        <v>176</v>
      </c>
      <c r="E13" s="16" t="s">
        <v>26</v>
      </c>
      <c r="F13" s="155">
        <f>'F6'!D19</f>
        <v>0.21</v>
      </c>
      <c r="G13" s="155">
        <f ca="1">'F6'!E19</f>
        <v>0.27</v>
      </c>
      <c r="H13" s="155">
        <f ca="1">'F6'!F19</f>
        <v>0.27</v>
      </c>
      <c r="I13" s="155">
        <f>'F6'!G19</f>
        <v>0.22</v>
      </c>
      <c r="J13" s="155">
        <f ca="1">'F6'!H19</f>
        <v>0.27</v>
      </c>
      <c r="K13" s="155">
        <f>'F6'!I19</f>
        <v>0.23</v>
      </c>
      <c r="L13" s="155">
        <f ca="1">'F6'!J19</f>
        <v>0.28000000000000003</v>
      </c>
      <c r="M13" s="115"/>
      <c r="N13" s="163"/>
    </row>
    <row r="14" spans="2:14" ht="15" x14ac:dyDescent="0.2">
      <c r="B14" s="2">
        <f t="shared" si="0"/>
        <v>5</v>
      </c>
      <c r="C14" s="3" t="s">
        <v>200</v>
      </c>
      <c r="D14" s="2" t="s">
        <v>176</v>
      </c>
      <c r="E14" s="16" t="s">
        <v>27</v>
      </c>
      <c r="F14" s="155">
        <f>'F7'!D21</f>
        <v>1.1200000000000001</v>
      </c>
      <c r="G14" s="155">
        <f>'F7'!E21</f>
        <v>1.97</v>
      </c>
      <c r="H14" s="155">
        <f>'F7'!F21</f>
        <v>1.97</v>
      </c>
      <c r="I14" s="155">
        <f>'F7'!G21</f>
        <v>1.47</v>
      </c>
      <c r="J14" s="155">
        <f>'F7'!H21</f>
        <v>1.97</v>
      </c>
      <c r="K14" s="155">
        <f>'F7'!I21</f>
        <v>1.47</v>
      </c>
      <c r="L14" s="155">
        <f>'F7'!J21</f>
        <v>1.97</v>
      </c>
      <c r="M14" s="115"/>
      <c r="N14" s="163"/>
    </row>
    <row r="15" spans="2:14" ht="15" x14ac:dyDescent="0.2">
      <c r="B15" s="2">
        <f t="shared" si="0"/>
        <v>6</v>
      </c>
      <c r="C15" s="3" t="s">
        <v>34</v>
      </c>
      <c r="D15" s="2" t="s">
        <v>176</v>
      </c>
      <c r="E15" s="16" t="s">
        <v>28</v>
      </c>
      <c r="F15" s="155">
        <f>'F8'!D29</f>
        <v>0.03</v>
      </c>
      <c r="G15" s="155">
        <f>'F8'!E29</f>
        <v>0.02</v>
      </c>
      <c r="H15" s="155">
        <f>G15</f>
        <v>0.02</v>
      </c>
      <c r="I15" s="155">
        <f>'F8'!G29</f>
        <v>0.04</v>
      </c>
      <c r="J15" s="155">
        <f>'F8'!H29</f>
        <v>0.09</v>
      </c>
      <c r="K15" s="155">
        <f>'F8'!I29</f>
        <v>0.04</v>
      </c>
      <c r="L15" s="155">
        <f>'F8'!J29</f>
        <v>0.1</v>
      </c>
      <c r="M15" s="115"/>
      <c r="N15" s="163"/>
    </row>
    <row r="16" spans="2:14" ht="15" x14ac:dyDescent="0.2">
      <c r="B16" s="14">
        <f t="shared" si="0"/>
        <v>7</v>
      </c>
      <c r="C16" s="19" t="s">
        <v>201</v>
      </c>
      <c r="D16" s="14" t="s">
        <v>176</v>
      </c>
      <c r="E16" s="16"/>
      <c r="F16" s="155">
        <f>SUM(F10:F14)-F15</f>
        <v>9.6600000000000019</v>
      </c>
      <c r="G16" s="155">
        <f ca="1">SUM(G10:G14)-G15</f>
        <v>12.420000000000002</v>
      </c>
      <c r="H16" s="155">
        <f t="shared" ref="H16:J16" ca="1" si="1">SUM(H10:H14)-H15</f>
        <v>12.420000000000002</v>
      </c>
      <c r="I16" s="155">
        <f t="shared" si="1"/>
        <v>10.200000000000001</v>
      </c>
      <c r="J16" s="155">
        <f t="shared" ca="1" si="1"/>
        <v>12.68</v>
      </c>
      <c r="K16" s="155">
        <f>SUM(K10:K14)-K15</f>
        <v>10.56</v>
      </c>
      <c r="L16" s="155">
        <f t="shared" ref="L16" ca="1" si="2">SUM(L10:L14)-L15</f>
        <v>13.02</v>
      </c>
      <c r="M16" s="115"/>
      <c r="N16" s="163"/>
    </row>
    <row r="17" spans="2:13" ht="15" x14ac:dyDescent="0.2">
      <c r="B17" s="14" t="s">
        <v>55</v>
      </c>
      <c r="C17" s="14" t="s">
        <v>202</v>
      </c>
      <c r="D17" s="16"/>
      <c r="E17" s="16"/>
      <c r="F17" s="116"/>
      <c r="G17" s="116"/>
      <c r="H17" s="116"/>
      <c r="I17" s="116"/>
      <c r="J17" s="116"/>
      <c r="K17" s="116"/>
      <c r="L17" s="116"/>
      <c r="M17" s="3"/>
    </row>
    <row r="18" spans="2:13" ht="15" x14ac:dyDescent="0.2">
      <c r="B18" s="2">
        <v>1</v>
      </c>
      <c r="C18" s="16" t="s">
        <v>203</v>
      </c>
      <c r="D18" s="2" t="s">
        <v>175</v>
      </c>
      <c r="E18" s="16" t="s">
        <v>141</v>
      </c>
      <c r="F18" s="158"/>
      <c r="G18" s="158"/>
      <c r="H18" s="158"/>
      <c r="I18" s="158"/>
      <c r="J18" s="158"/>
      <c r="K18" s="158"/>
      <c r="L18" s="158"/>
      <c r="M18" s="3"/>
    </row>
    <row r="19" spans="2:13" ht="15" x14ac:dyDescent="0.2">
      <c r="B19" s="2">
        <f>B18+1</f>
        <v>2</v>
      </c>
      <c r="C19" s="16" t="s">
        <v>204</v>
      </c>
      <c r="D19" s="2" t="s">
        <v>38</v>
      </c>
      <c r="E19" s="16" t="s">
        <v>30</v>
      </c>
      <c r="F19" s="155"/>
      <c r="G19" s="155"/>
      <c r="H19" s="155"/>
      <c r="I19" s="155"/>
      <c r="J19" s="155"/>
      <c r="K19" s="155"/>
      <c r="L19" s="155"/>
      <c r="M19" s="3"/>
    </row>
    <row r="20" spans="2:13" ht="15" x14ac:dyDescent="0.2">
      <c r="B20" s="2">
        <f>B19+1</f>
        <v>3</v>
      </c>
      <c r="C20" s="16" t="s">
        <v>202</v>
      </c>
      <c r="D20" s="2" t="s">
        <v>176</v>
      </c>
      <c r="E20" s="16"/>
      <c r="F20" s="155"/>
      <c r="G20" s="155"/>
      <c r="H20" s="155"/>
      <c r="I20" s="155"/>
      <c r="J20" s="155"/>
      <c r="K20" s="155"/>
      <c r="L20" s="155"/>
      <c r="M20" s="3"/>
    </row>
    <row r="21" spans="2:13" ht="15" x14ac:dyDescent="0.2">
      <c r="B21" s="14" t="s">
        <v>56</v>
      </c>
      <c r="C21" s="14" t="s">
        <v>291</v>
      </c>
      <c r="D21" s="2" t="s">
        <v>176</v>
      </c>
      <c r="E21" s="3"/>
      <c r="F21" s="159">
        <f>F16+F20</f>
        <v>9.6600000000000019</v>
      </c>
      <c r="G21" s="155">
        <f t="shared" ref="G21:L21" ca="1" si="3">G16+G20</f>
        <v>12.420000000000002</v>
      </c>
      <c r="H21" s="155">
        <f t="shared" ca="1" si="3"/>
        <v>12.420000000000002</v>
      </c>
      <c r="I21" s="155">
        <f t="shared" si="3"/>
        <v>10.200000000000001</v>
      </c>
      <c r="J21" s="155">
        <f t="shared" ca="1" si="3"/>
        <v>12.68</v>
      </c>
      <c r="K21" s="155">
        <f t="shared" si="3"/>
        <v>10.56</v>
      </c>
      <c r="L21" s="155">
        <f t="shared" ca="1" si="3"/>
        <v>13.02</v>
      </c>
      <c r="M21" s="3"/>
    </row>
    <row r="22" spans="2:13" x14ac:dyDescent="0.2">
      <c r="F22" s="126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F14" sqref="F14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10" width="10.28515625" style="5" customWidth="1"/>
    <col min="11" max="11" width="10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34" t="s">
        <v>298</v>
      </c>
      <c r="C2" s="234"/>
      <c r="D2" s="234"/>
      <c r="E2" s="234"/>
      <c r="F2" s="234"/>
      <c r="G2" s="234"/>
      <c r="H2" s="234"/>
      <c r="I2" s="234"/>
      <c r="J2" s="234"/>
      <c r="K2" s="234"/>
    </row>
    <row r="3" spans="2:11" ht="15" x14ac:dyDescent="0.2">
      <c r="B3" s="35"/>
      <c r="C3" s="35"/>
      <c r="D3" s="35"/>
      <c r="E3" s="35"/>
      <c r="F3" s="35" t="str">
        <f>'F1'!$F$3</f>
        <v>Pochampad-II</v>
      </c>
      <c r="G3" s="35"/>
      <c r="H3" s="35"/>
      <c r="I3" s="35"/>
      <c r="J3" s="35"/>
      <c r="K3" s="35"/>
    </row>
    <row r="4" spans="2:11" ht="15" x14ac:dyDescent="0.2">
      <c r="B4" s="234" t="s">
        <v>278</v>
      </c>
      <c r="C4" s="234"/>
      <c r="D4" s="234"/>
      <c r="E4" s="234"/>
      <c r="F4" s="234"/>
      <c r="G4" s="234"/>
      <c r="H4" s="234"/>
      <c r="I4" s="234"/>
      <c r="J4" s="234"/>
      <c r="K4" s="234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35" t="s">
        <v>52</v>
      </c>
      <c r="C6" s="235"/>
      <c r="D6" s="235"/>
      <c r="E6" s="235"/>
      <c r="F6" s="235"/>
      <c r="G6" s="235"/>
      <c r="H6" s="235"/>
      <c r="I6" s="235"/>
      <c r="J6" s="235"/>
      <c r="K6" s="235"/>
    </row>
    <row r="7" spans="2:11" ht="15" x14ac:dyDescent="0.2">
      <c r="K7" s="26" t="s">
        <v>4</v>
      </c>
    </row>
    <row r="8" spans="2:11" ht="15" customHeight="1" x14ac:dyDescent="0.2">
      <c r="B8" s="236" t="s">
        <v>164</v>
      </c>
      <c r="C8" s="236" t="s">
        <v>14</v>
      </c>
      <c r="D8" s="237" t="s">
        <v>1</v>
      </c>
      <c r="E8" s="231" t="s">
        <v>299</v>
      </c>
      <c r="F8" s="232"/>
      <c r="G8" s="233"/>
      <c r="H8" s="231" t="s">
        <v>300</v>
      </c>
      <c r="I8" s="233"/>
      <c r="J8" s="231" t="s">
        <v>327</v>
      </c>
      <c r="K8" s="233"/>
    </row>
    <row r="9" spans="2:11" ht="75" x14ac:dyDescent="0.2">
      <c r="B9" s="236"/>
      <c r="C9" s="236"/>
      <c r="D9" s="238"/>
      <c r="E9" s="15" t="s">
        <v>271</v>
      </c>
      <c r="F9" s="15" t="s">
        <v>206</v>
      </c>
      <c r="G9" s="15" t="s">
        <v>325</v>
      </c>
      <c r="H9" s="15" t="s">
        <v>271</v>
      </c>
      <c r="I9" s="15" t="s">
        <v>205</v>
      </c>
      <c r="J9" s="15" t="s">
        <v>271</v>
      </c>
      <c r="K9" s="15" t="s">
        <v>205</v>
      </c>
    </row>
    <row r="10" spans="2:11" ht="30" x14ac:dyDescent="0.2">
      <c r="B10" s="236"/>
      <c r="C10" s="236"/>
      <c r="D10" s="239"/>
      <c r="E10" s="15" t="s">
        <v>10</v>
      </c>
      <c r="F10" s="15" t="s">
        <v>12</v>
      </c>
      <c r="G10" s="15" t="s">
        <v>197</v>
      </c>
      <c r="H10" s="15" t="s">
        <v>10</v>
      </c>
      <c r="I10" s="15" t="s">
        <v>323</v>
      </c>
      <c r="J10" s="15" t="s">
        <v>10</v>
      </c>
      <c r="K10" s="15" t="s">
        <v>323</v>
      </c>
    </row>
    <row r="11" spans="2:11" x14ac:dyDescent="0.2">
      <c r="B11" s="20">
        <v>1</v>
      </c>
      <c r="C11" s="29" t="s">
        <v>53</v>
      </c>
      <c r="D11" s="29" t="s">
        <v>20</v>
      </c>
      <c r="E11" s="114"/>
      <c r="F11" s="128">
        <f>F2.1!D36</f>
        <v>8.23</v>
      </c>
      <c r="G11" s="128">
        <f>F11</f>
        <v>8.23</v>
      </c>
      <c r="H11" s="114"/>
      <c r="I11" s="128">
        <f>F2.1!E36</f>
        <v>8.58</v>
      </c>
      <c r="J11" s="114"/>
      <c r="K11" s="128">
        <f>F2.1!F36</f>
        <v>8.93</v>
      </c>
    </row>
    <row r="12" spans="2:11" x14ac:dyDescent="0.2">
      <c r="B12" s="20">
        <f>B11+1</f>
        <v>2</v>
      </c>
      <c r="C12" s="37" t="s">
        <v>207</v>
      </c>
      <c r="D12" s="37" t="s">
        <v>21</v>
      </c>
      <c r="E12" s="119"/>
      <c r="F12" s="129">
        <f>F2.2!D38</f>
        <v>0.22</v>
      </c>
      <c r="G12" s="128">
        <f t="shared" ref="G12:G13" si="0">F12</f>
        <v>0.22</v>
      </c>
      <c r="H12" s="114"/>
      <c r="I12" s="128">
        <f>F2.2!E38</f>
        <v>0.24</v>
      </c>
      <c r="J12" s="114"/>
      <c r="K12" s="128">
        <f>F2.2!F38</f>
        <v>0.26</v>
      </c>
    </row>
    <row r="13" spans="2:11" x14ac:dyDescent="0.2">
      <c r="B13" s="20">
        <f>B12+1</f>
        <v>3</v>
      </c>
      <c r="C13" s="29" t="s">
        <v>180</v>
      </c>
      <c r="D13" s="29" t="s">
        <v>233</v>
      </c>
      <c r="E13" s="114"/>
      <c r="F13" s="128">
        <f>F2.3!D18</f>
        <v>0.28000000000000003</v>
      </c>
      <c r="G13" s="128">
        <f t="shared" si="0"/>
        <v>0.28000000000000003</v>
      </c>
      <c r="H13" s="114"/>
      <c r="I13" s="128">
        <f>F2.3!E18</f>
        <v>0.3</v>
      </c>
      <c r="J13" s="114"/>
      <c r="K13" s="128">
        <f>F2.3!F18</f>
        <v>0.32</v>
      </c>
    </row>
    <row r="14" spans="2:11" ht="15" x14ac:dyDescent="0.2">
      <c r="B14" s="20">
        <f>B13+1</f>
        <v>4</v>
      </c>
      <c r="C14" s="29" t="s">
        <v>54</v>
      </c>
      <c r="D14" s="29"/>
      <c r="E14" s="130">
        <v>6.99</v>
      </c>
      <c r="F14" s="130">
        <f t="shared" ref="F14:K14" si="1">ROUND(SUM(F11:F13),2)</f>
        <v>8.73</v>
      </c>
      <c r="G14" s="130">
        <f t="shared" si="1"/>
        <v>8.73</v>
      </c>
      <c r="H14" s="130">
        <v>7.39</v>
      </c>
      <c r="I14" s="130">
        <f t="shared" si="1"/>
        <v>9.1199999999999992</v>
      </c>
      <c r="J14" s="130">
        <v>7.81</v>
      </c>
      <c r="K14" s="130">
        <f t="shared" si="1"/>
        <v>9.51</v>
      </c>
    </row>
    <row r="15" spans="2:11" x14ac:dyDescent="0.2">
      <c r="B15" s="49" t="s">
        <v>208</v>
      </c>
      <c r="C15" s="50"/>
      <c r="D15" s="47"/>
      <c r="E15" s="147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209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view="pageBreakPreview" topLeftCell="A23" zoomScale="98" zoomScaleNormal="95" zoomScaleSheetLayoutView="98" workbookViewId="0">
      <selection activeCell="D36" sqref="D36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2" spans="2:8" ht="14.25" customHeight="1" x14ac:dyDescent="0.2">
      <c r="B2" s="234" t="s">
        <v>298</v>
      </c>
      <c r="C2" s="234"/>
      <c r="D2" s="234"/>
      <c r="E2" s="234"/>
      <c r="F2" s="234"/>
    </row>
    <row r="3" spans="2:8" ht="14.25" customHeight="1" x14ac:dyDescent="0.2">
      <c r="B3" s="234" t="str">
        <f>'F1'!$F$3</f>
        <v>Pochampad-II</v>
      </c>
      <c r="C3" s="234"/>
      <c r="D3" s="234"/>
      <c r="E3" s="234"/>
      <c r="F3" s="234"/>
    </row>
    <row r="4" spans="2:8" s="4" customFormat="1" ht="14.25" customHeight="1" x14ac:dyDescent="0.2">
      <c r="B4" s="234" t="s">
        <v>234</v>
      </c>
      <c r="C4" s="234"/>
      <c r="D4" s="234"/>
      <c r="E4" s="234"/>
      <c r="F4" s="234"/>
    </row>
    <row r="5" spans="2:8" s="4" customFormat="1" ht="3" customHeight="1" x14ac:dyDescent="0.25">
      <c r="C5" s="40"/>
      <c r="D5" s="41"/>
      <c r="E5" s="41"/>
    </row>
    <row r="6" spans="2:8" ht="15" x14ac:dyDescent="0.2">
      <c r="F6" s="26" t="s">
        <v>4</v>
      </c>
    </row>
    <row r="7" spans="2:8" ht="12.75" customHeight="1" x14ac:dyDescent="0.2">
      <c r="B7" s="227" t="s">
        <v>2</v>
      </c>
      <c r="C7" s="227" t="s">
        <v>14</v>
      </c>
      <c r="D7" s="15" t="s">
        <v>299</v>
      </c>
      <c r="E7" s="15" t="s">
        <v>300</v>
      </c>
      <c r="F7" s="23" t="s">
        <v>327</v>
      </c>
    </row>
    <row r="8" spans="2:8" ht="15" x14ac:dyDescent="0.2">
      <c r="B8" s="227"/>
      <c r="C8" s="227"/>
      <c r="D8" s="15" t="s">
        <v>206</v>
      </c>
      <c r="E8" s="15" t="s">
        <v>205</v>
      </c>
      <c r="F8" s="15" t="s">
        <v>205</v>
      </c>
    </row>
    <row r="9" spans="2:8" ht="15" x14ac:dyDescent="0.2">
      <c r="B9" s="240"/>
      <c r="C9" s="227"/>
      <c r="D9" s="15" t="s">
        <v>12</v>
      </c>
      <c r="E9" s="15" t="s">
        <v>5</v>
      </c>
      <c r="F9" s="15" t="s">
        <v>8</v>
      </c>
    </row>
    <row r="10" spans="2:8" ht="18" customHeight="1" x14ac:dyDescent="0.2">
      <c r="B10" s="2">
        <v>1</v>
      </c>
      <c r="C10" s="42" t="s">
        <v>57</v>
      </c>
      <c r="D10" s="201">
        <v>4.160638577958907</v>
      </c>
      <c r="E10" s="201">
        <v>4.3390019877553945</v>
      </c>
      <c r="F10" s="201">
        <v>4.5125620672656108</v>
      </c>
      <c r="H10" s="131"/>
    </row>
    <row r="11" spans="2:8" ht="18" customHeight="1" x14ac:dyDescent="0.2">
      <c r="B11" s="2">
        <v>2</v>
      </c>
      <c r="C11" s="42" t="s">
        <v>58</v>
      </c>
      <c r="D11" s="201">
        <v>0.54832093562226902</v>
      </c>
      <c r="E11" s="201">
        <v>0.57185933526129185</v>
      </c>
      <c r="F11" s="201">
        <v>0.59473370867174358</v>
      </c>
      <c r="H11" s="131"/>
    </row>
    <row r="12" spans="2:8" ht="18" customHeight="1" x14ac:dyDescent="0.2">
      <c r="B12" s="2">
        <v>3</v>
      </c>
      <c r="C12" s="3" t="s">
        <v>59</v>
      </c>
      <c r="D12" s="201">
        <v>0.29603794233145342</v>
      </c>
      <c r="E12" s="201">
        <v>0.31189686443560333</v>
      </c>
      <c r="F12" s="201">
        <v>0.32437273901302749</v>
      </c>
      <c r="H12" s="131"/>
    </row>
    <row r="13" spans="2:8" ht="18" customHeight="1" x14ac:dyDescent="0.2">
      <c r="B13" s="2">
        <v>4</v>
      </c>
      <c r="C13" s="42" t="s">
        <v>60</v>
      </c>
      <c r="D13" s="201">
        <v>3.5890322967851808E-2</v>
      </c>
      <c r="E13" s="201">
        <v>3.7488388292474521E-2</v>
      </c>
      <c r="F13" s="201">
        <v>3.8987923824173501E-2</v>
      </c>
      <c r="H13" s="131"/>
    </row>
    <row r="14" spans="2:8" ht="18" customHeight="1" x14ac:dyDescent="0.2">
      <c r="B14" s="2">
        <v>5</v>
      </c>
      <c r="C14" s="42" t="s">
        <v>61</v>
      </c>
      <c r="D14" s="201">
        <v>0</v>
      </c>
      <c r="E14" s="201">
        <v>0</v>
      </c>
      <c r="F14" s="201">
        <v>0</v>
      </c>
      <c r="H14" s="131"/>
    </row>
    <row r="15" spans="2:8" ht="18" customHeight="1" x14ac:dyDescent="0.2">
      <c r="B15" s="2">
        <v>6</v>
      </c>
      <c r="C15" s="3" t="s">
        <v>62</v>
      </c>
      <c r="D15" s="201">
        <v>0.77453502690041087</v>
      </c>
      <c r="E15" s="201">
        <v>0.80782107857887975</v>
      </c>
      <c r="F15" s="201">
        <v>0.84013392172203494</v>
      </c>
      <c r="H15" s="131"/>
    </row>
    <row r="16" spans="2:8" ht="18" customHeight="1" x14ac:dyDescent="0.2">
      <c r="B16" s="2">
        <v>7</v>
      </c>
      <c r="C16" s="42" t="s">
        <v>63</v>
      </c>
      <c r="D16" s="201">
        <v>0.87580755791201026</v>
      </c>
      <c r="E16" s="201">
        <v>0.91535008992103484</v>
      </c>
      <c r="F16" s="201">
        <v>0.95196409351787625</v>
      </c>
      <c r="H16" s="131"/>
    </row>
    <row r="17" spans="2:8" ht="18" customHeight="1" x14ac:dyDescent="0.2">
      <c r="B17" s="2">
        <v>8</v>
      </c>
      <c r="C17" s="42" t="s">
        <v>64</v>
      </c>
      <c r="D17" s="201">
        <v>8.3089967661526508E-3</v>
      </c>
      <c r="E17" s="201">
        <v>7.1870899116338177E-3</v>
      </c>
      <c r="F17" s="201">
        <v>7.4745735080991704E-3</v>
      </c>
      <c r="H17" s="131"/>
    </row>
    <row r="18" spans="2:8" ht="18" customHeight="1" x14ac:dyDescent="0.2">
      <c r="B18" s="2">
        <v>9</v>
      </c>
      <c r="C18" s="42" t="s">
        <v>65</v>
      </c>
      <c r="D18" s="201">
        <v>0</v>
      </c>
      <c r="E18" s="201">
        <v>0</v>
      </c>
      <c r="F18" s="201">
        <v>0</v>
      </c>
      <c r="H18" s="131"/>
    </row>
    <row r="19" spans="2:8" ht="18" customHeight="1" x14ac:dyDescent="0.2">
      <c r="B19" s="2">
        <v>10</v>
      </c>
      <c r="C19" s="42" t="s">
        <v>66</v>
      </c>
      <c r="D19" s="201">
        <v>0</v>
      </c>
      <c r="E19" s="201">
        <v>0</v>
      </c>
      <c r="F19" s="201">
        <v>0</v>
      </c>
      <c r="H19" s="131"/>
    </row>
    <row r="20" spans="2:8" ht="18" customHeight="1" x14ac:dyDescent="0.2">
      <c r="B20" s="2">
        <v>11</v>
      </c>
      <c r="C20" s="42" t="s">
        <v>67</v>
      </c>
      <c r="D20" s="201">
        <v>3.270803887061159E-5</v>
      </c>
      <c r="E20" s="201">
        <v>3.4301398248873233E-5</v>
      </c>
      <c r="F20" s="201">
        <v>3.5673454178828161E-5</v>
      </c>
      <c r="H20" s="131"/>
    </row>
    <row r="21" spans="2:8" ht="18" customHeight="1" x14ac:dyDescent="0.2">
      <c r="B21" s="2">
        <v>12</v>
      </c>
      <c r="C21" s="42" t="s">
        <v>68</v>
      </c>
      <c r="D21" s="201">
        <v>5.8964903996514981E-2</v>
      </c>
      <c r="E21" s="201">
        <v>6.1383797986332714E-2</v>
      </c>
      <c r="F21" s="201">
        <v>6.3839149905786027E-2</v>
      </c>
      <c r="H21" s="131"/>
    </row>
    <row r="22" spans="2:8" ht="18" customHeight="1" x14ac:dyDescent="0.2">
      <c r="B22" s="2">
        <v>13</v>
      </c>
      <c r="C22" s="42" t="s">
        <v>69</v>
      </c>
      <c r="D22" s="201">
        <v>0</v>
      </c>
      <c r="E22" s="201">
        <v>0</v>
      </c>
      <c r="F22" s="201">
        <v>0</v>
      </c>
      <c r="H22" s="131"/>
    </row>
    <row r="23" spans="2:8" ht="18" customHeight="1" x14ac:dyDescent="0.2">
      <c r="B23" s="2">
        <v>14</v>
      </c>
      <c r="C23" s="42" t="s">
        <v>70</v>
      </c>
      <c r="D23" s="201">
        <v>0</v>
      </c>
      <c r="E23" s="201">
        <v>0</v>
      </c>
      <c r="F23" s="201">
        <v>0</v>
      </c>
      <c r="H23" s="131"/>
    </row>
    <row r="24" spans="2:8" ht="18" customHeight="1" x14ac:dyDescent="0.2">
      <c r="B24" s="2">
        <v>15</v>
      </c>
      <c r="C24" s="42" t="s">
        <v>71</v>
      </c>
      <c r="D24" s="201">
        <v>0</v>
      </c>
      <c r="E24" s="201">
        <v>0</v>
      </c>
      <c r="F24" s="201">
        <v>0</v>
      </c>
      <c r="H24" s="131"/>
    </row>
    <row r="25" spans="2:8" ht="18" customHeight="1" x14ac:dyDescent="0.2">
      <c r="B25" s="2">
        <v>16</v>
      </c>
      <c r="C25" s="42" t="s">
        <v>72</v>
      </c>
      <c r="D25" s="201">
        <v>0</v>
      </c>
      <c r="E25" s="201">
        <v>0</v>
      </c>
      <c r="F25" s="201">
        <v>0</v>
      </c>
      <c r="H25" s="131"/>
    </row>
    <row r="26" spans="2:8" ht="18" customHeight="1" x14ac:dyDescent="0.2">
      <c r="B26" s="2">
        <v>17</v>
      </c>
      <c r="C26" s="42" t="s">
        <v>73</v>
      </c>
      <c r="D26" s="124">
        <f>SUM(D10:D25)</f>
        <v>6.75853697249444</v>
      </c>
      <c r="E26" s="125">
        <f>SUM(E10:E25)</f>
        <v>7.0520229335408935</v>
      </c>
      <c r="F26" s="125">
        <f>SUM(F10:F25)</f>
        <v>7.3341038508825305</v>
      </c>
      <c r="H26" s="132"/>
    </row>
    <row r="27" spans="2:8" ht="18" customHeight="1" x14ac:dyDescent="0.2">
      <c r="B27" s="2">
        <v>18</v>
      </c>
      <c r="C27" s="42" t="s">
        <v>74</v>
      </c>
      <c r="D27" s="201">
        <v>0</v>
      </c>
      <c r="E27" s="201">
        <v>0</v>
      </c>
      <c r="F27" s="201">
        <v>0</v>
      </c>
    </row>
    <row r="28" spans="2:8" ht="18" customHeight="1" x14ac:dyDescent="0.2">
      <c r="B28" s="2">
        <f>+B27+0.1</f>
        <v>18.100000000000001</v>
      </c>
      <c r="C28" s="42" t="s">
        <v>75</v>
      </c>
      <c r="D28" s="201">
        <v>0</v>
      </c>
      <c r="E28" s="201">
        <v>0</v>
      </c>
      <c r="F28" s="201">
        <v>0</v>
      </c>
    </row>
    <row r="29" spans="2:8" ht="18" customHeight="1" x14ac:dyDescent="0.2">
      <c r="B29" s="2">
        <f>+B28+0.1</f>
        <v>18.200000000000003</v>
      </c>
      <c r="C29" s="42" t="s">
        <v>76</v>
      </c>
      <c r="D29" s="201">
        <v>0.44886158266068821</v>
      </c>
      <c r="E29" s="201">
        <v>0.46949429583644942</v>
      </c>
      <c r="F29" s="201">
        <v>0.48827406766990739</v>
      </c>
    </row>
    <row r="30" spans="2:8" ht="18" customHeight="1" x14ac:dyDescent="0.2">
      <c r="B30" s="2">
        <f>+B29+0.1</f>
        <v>18.300000000000004</v>
      </c>
      <c r="C30" s="42" t="s">
        <v>77</v>
      </c>
      <c r="D30" s="201">
        <v>0</v>
      </c>
      <c r="E30" s="201">
        <v>0</v>
      </c>
      <c r="F30" s="201">
        <v>0</v>
      </c>
    </row>
    <row r="31" spans="2:8" ht="18" customHeight="1" x14ac:dyDescent="0.2">
      <c r="B31" s="2">
        <f>+B30+0.1</f>
        <v>18.400000000000006</v>
      </c>
      <c r="C31" s="42" t="s">
        <v>78</v>
      </c>
      <c r="D31" s="201">
        <v>1.0176953080266049</v>
      </c>
      <c r="E31" s="201">
        <v>1.0612086663906704</v>
      </c>
      <c r="F31" s="201">
        <v>1.1036570130462973</v>
      </c>
    </row>
    <row r="32" spans="2:8" ht="29.25" customHeight="1" x14ac:dyDescent="0.2">
      <c r="B32" s="2">
        <v>19</v>
      </c>
      <c r="C32" s="46" t="s">
        <v>290</v>
      </c>
      <c r="D32" s="201">
        <v>0</v>
      </c>
      <c r="E32" s="201">
        <v>0</v>
      </c>
      <c r="F32" s="201">
        <v>0</v>
      </c>
    </row>
    <row r="33" spans="2:6" ht="18" customHeight="1" x14ac:dyDescent="0.2">
      <c r="B33" s="2">
        <v>20</v>
      </c>
      <c r="C33" s="42" t="s">
        <v>79</v>
      </c>
      <c r="D33" s="201">
        <v>0</v>
      </c>
      <c r="E33" s="201">
        <v>0</v>
      </c>
      <c r="F33" s="201">
        <v>0</v>
      </c>
    </row>
    <row r="34" spans="2:6" ht="18" customHeight="1" x14ac:dyDescent="0.25">
      <c r="B34" s="14">
        <v>21</v>
      </c>
      <c r="C34" s="43" t="s">
        <v>80</v>
      </c>
      <c r="D34" s="113">
        <f>SUM(D26:D33)</f>
        <v>8.2250938631817334</v>
      </c>
      <c r="E34" s="113">
        <f>SUM(E26:E33)</f>
        <v>8.5827258957680144</v>
      </c>
      <c r="F34" s="113">
        <f>SUM(F26:F33)</f>
        <v>8.9260349315987355</v>
      </c>
    </row>
    <row r="35" spans="2:6" ht="18" customHeight="1" x14ac:dyDescent="0.25">
      <c r="B35" s="2">
        <v>22</v>
      </c>
      <c r="C35" s="42" t="s">
        <v>13</v>
      </c>
      <c r="D35" s="196"/>
      <c r="E35" s="197"/>
      <c r="F35" s="197"/>
    </row>
    <row r="36" spans="2:6" ht="18" customHeight="1" x14ac:dyDescent="0.2">
      <c r="B36" s="14">
        <v>23</v>
      </c>
      <c r="C36" s="19" t="s">
        <v>81</v>
      </c>
      <c r="D36" s="203">
        <f>ROUND(D34-D35,2)</f>
        <v>8.23</v>
      </c>
      <c r="E36" s="203">
        <f t="shared" ref="E36:F36" si="0">ROUND(E34-E35,2)</f>
        <v>8.58</v>
      </c>
      <c r="F36" s="203">
        <f t="shared" si="0"/>
        <v>8.93</v>
      </c>
    </row>
    <row r="37" spans="2:6" ht="27.75" customHeight="1" x14ac:dyDescent="0.2">
      <c r="B37" s="44"/>
      <c r="D37" s="133"/>
    </row>
    <row r="38" spans="2:6" x14ac:dyDescent="0.2">
      <c r="B38" s="45"/>
    </row>
  </sheetData>
  <mergeCells count="5">
    <mergeCell ref="B7:B9"/>
    <mergeCell ref="C7:C9"/>
    <mergeCell ref="B2:F2"/>
    <mergeCell ref="B4:F4"/>
    <mergeCell ref="B3:F3"/>
  </mergeCells>
  <pageMargins left="1" right="0.25" top="0.25" bottom="0.25" header="0.5" footer="0.5"/>
  <pageSetup paperSize="9" scale="93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18" zoomScale="96" zoomScaleSheetLayoutView="96" workbookViewId="0">
      <selection activeCell="D38" sqref="D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34" t="s">
        <v>298</v>
      </c>
      <c r="C1" s="234"/>
      <c r="D1" s="234"/>
      <c r="E1" s="234"/>
      <c r="F1" s="234"/>
    </row>
    <row r="2" spans="2:6" ht="14.25" customHeight="1" x14ac:dyDescent="0.2">
      <c r="B2" s="234" t="str">
        <f>'F1'!$F$3</f>
        <v>Pochampad-II</v>
      </c>
      <c r="C2" s="234"/>
      <c r="D2" s="234"/>
      <c r="E2" s="234"/>
      <c r="F2" s="234"/>
    </row>
    <row r="3" spans="2:6" s="4" customFormat="1" ht="15" x14ac:dyDescent="0.2">
      <c r="B3" s="234" t="s">
        <v>301</v>
      </c>
      <c r="C3" s="234"/>
      <c r="D3" s="234"/>
      <c r="E3" s="234"/>
      <c r="F3" s="234"/>
    </row>
    <row r="4" spans="2:6" ht="15" x14ac:dyDescent="0.2">
      <c r="F4" s="26" t="s">
        <v>4</v>
      </c>
    </row>
    <row r="5" spans="2:6" ht="12.75" customHeight="1" x14ac:dyDescent="0.2">
      <c r="B5" s="229" t="s">
        <v>164</v>
      </c>
      <c r="C5" s="227" t="s">
        <v>14</v>
      </c>
      <c r="D5" s="15" t="s">
        <v>299</v>
      </c>
      <c r="E5" s="15" t="s">
        <v>300</v>
      </c>
      <c r="F5" s="23" t="s">
        <v>327</v>
      </c>
    </row>
    <row r="6" spans="2:6" ht="15" x14ac:dyDescent="0.2">
      <c r="B6" s="229"/>
      <c r="C6" s="227"/>
      <c r="D6" s="15" t="s">
        <v>206</v>
      </c>
      <c r="E6" s="15" t="s">
        <v>205</v>
      </c>
      <c r="F6" s="15" t="s">
        <v>205</v>
      </c>
    </row>
    <row r="7" spans="2:6" ht="15" x14ac:dyDescent="0.2">
      <c r="B7" s="229"/>
      <c r="C7" s="227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82</v>
      </c>
      <c r="D8" s="201">
        <v>8.3883658708349094E-3</v>
      </c>
      <c r="E8" s="201">
        <v>8.5960475987239531E-3</v>
      </c>
      <c r="F8" s="201">
        <v>9.1118104546473906E-3</v>
      </c>
    </row>
    <row r="9" spans="2:6" x14ac:dyDescent="0.2">
      <c r="B9" s="3">
        <v>2</v>
      </c>
      <c r="C9" s="53" t="s">
        <v>83</v>
      </c>
      <c r="D9" s="201">
        <v>0</v>
      </c>
      <c r="E9" s="201">
        <v>0</v>
      </c>
      <c r="F9" s="201">
        <v>0</v>
      </c>
    </row>
    <row r="10" spans="2:6" x14ac:dyDescent="0.2">
      <c r="B10" s="3">
        <v>3</v>
      </c>
      <c r="C10" s="53" t="s">
        <v>84</v>
      </c>
      <c r="D10" s="201">
        <v>2.3203814401323844E-3</v>
      </c>
      <c r="E10" s="201">
        <v>2.4948679826478329E-3</v>
      </c>
      <c r="F10" s="201">
        <v>2.644560061606703E-3</v>
      </c>
    </row>
    <row r="11" spans="2:6" x14ac:dyDescent="0.2">
      <c r="B11" s="3">
        <v>4</v>
      </c>
      <c r="C11" s="53" t="s">
        <v>85</v>
      </c>
      <c r="D11" s="201">
        <v>3.4071908148556062E-3</v>
      </c>
      <c r="E11" s="201">
        <v>3.6427001259985649E-3</v>
      </c>
      <c r="F11" s="201">
        <v>3.8612621335584788E-3</v>
      </c>
    </row>
    <row r="12" spans="2:6" x14ac:dyDescent="0.2">
      <c r="B12" s="3">
        <v>5</v>
      </c>
      <c r="C12" s="53" t="s">
        <v>86</v>
      </c>
      <c r="D12" s="201">
        <v>2.7341192749002336E-4</v>
      </c>
      <c r="E12" s="201">
        <v>2.9425612243435905E-4</v>
      </c>
      <c r="F12" s="201">
        <v>3.119114897804206E-4</v>
      </c>
    </row>
    <row r="13" spans="2:6" x14ac:dyDescent="0.2">
      <c r="B13" s="3">
        <v>6</v>
      </c>
      <c r="C13" s="53" t="s">
        <v>87</v>
      </c>
      <c r="D13" s="201">
        <v>4.3190281556087446E-3</v>
      </c>
      <c r="E13" s="201">
        <v>4.668953159247537E-3</v>
      </c>
      <c r="F13" s="201">
        <v>4.9490903488023895E-3</v>
      </c>
    </row>
    <row r="14" spans="2:6" x14ac:dyDescent="0.2">
      <c r="B14" s="3">
        <v>7</v>
      </c>
      <c r="C14" s="53" t="s">
        <v>88</v>
      </c>
      <c r="D14" s="201">
        <v>2.9111013919073288E-2</v>
      </c>
      <c r="E14" s="201">
        <v>2.9522579795722915E-2</v>
      </c>
      <c r="F14" s="201">
        <v>3.1293934583466292E-2</v>
      </c>
    </row>
    <row r="15" spans="2:6" x14ac:dyDescent="0.2">
      <c r="B15" s="3">
        <v>8</v>
      </c>
      <c r="C15" s="53" t="s">
        <v>89</v>
      </c>
      <c r="D15" s="201">
        <v>3.0756913795407454E-5</v>
      </c>
      <c r="E15" s="201">
        <v>3.3101738737475848E-5</v>
      </c>
      <c r="F15" s="201">
        <v>3.5087843061724399E-5</v>
      </c>
    </row>
    <row r="16" spans="2:6" x14ac:dyDescent="0.2">
      <c r="B16" s="3">
        <v>9</v>
      </c>
      <c r="C16" s="53" t="s">
        <v>90</v>
      </c>
      <c r="D16" s="201">
        <v>9.4694919484076018E-2</v>
      </c>
      <c r="E16" s="201">
        <v>0.10178434280787058</v>
      </c>
      <c r="F16" s="201">
        <v>0.10789140337634281</v>
      </c>
    </row>
    <row r="17" spans="2:6" x14ac:dyDescent="0.2">
      <c r="B17" s="3">
        <v>10</v>
      </c>
      <c r="C17" s="53" t="s">
        <v>91</v>
      </c>
      <c r="D17" s="201">
        <v>5.1192221491183658E-3</v>
      </c>
      <c r="E17" s="201">
        <v>5.5096432883214187E-3</v>
      </c>
      <c r="F17" s="201">
        <v>5.840221885620704E-3</v>
      </c>
    </row>
    <row r="18" spans="2:6" x14ac:dyDescent="0.2">
      <c r="B18" s="3">
        <v>11</v>
      </c>
      <c r="C18" s="53" t="s">
        <v>92</v>
      </c>
      <c r="D18" s="201">
        <v>4.9830011234267567E-6</v>
      </c>
      <c r="E18" s="201">
        <v>5.0772759162102818E-6</v>
      </c>
      <c r="F18" s="201">
        <v>5.3819124711828991E-6</v>
      </c>
    </row>
    <row r="19" spans="2:6" x14ac:dyDescent="0.2">
      <c r="B19" s="3">
        <v>12</v>
      </c>
      <c r="C19" s="53" t="s">
        <v>93</v>
      </c>
      <c r="D19" s="201">
        <v>0</v>
      </c>
      <c r="E19" s="201">
        <v>0</v>
      </c>
      <c r="F19" s="201">
        <v>0</v>
      </c>
    </row>
    <row r="20" spans="2:6" x14ac:dyDescent="0.2">
      <c r="B20" s="3">
        <v>13</v>
      </c>
      <c r="C20" s="53" t="s">
        <v>94</v>
      </c>
      <c r="D20" s="201">
        <v>1.4733791222037765E-4</v>
      </c>
      <c r="E20" s="201">
        <v>1.5674231374303711E-4</v>
      </c>
      <c r="F20" s="201">
        <v>1.6614685256761933E-4</v>
      </c>
    </row>
    <row r="21" spans="2:6" x14ac:dyDescent="0.2">
      <c r="B21" s="3">
        <v>14</v>
      </c>
      <c r="C21" s="53" t="s">
        <v>95</v>
      </c>
      <c r="D21" s="201">
        <v>1.3094209775950897E-3</v>
      </c>
      <c r="E21" s="201">
        <v>1.6121635380587022E-3</v>
      </c>
      <c r="F21" s="201">
        <v>1.7088933503422244E-3</v>
      </c>
    </row>
    <row r="22" spans="2:6" x14ac:dyDescent="0.2">
      <c r="B22" s="3">
        <v>15</v>
      </c>
      <c r="C22" s="53" t="s">
        <v>96</v>
      </c>
      <c r="D22" s="201">
        <v>0</v>
      </c>
      <c r="E22" s="201">
        <v>0</v>
      </c>
      <c r="F22" s="201">
        <v>0</v>
      </c>
    </row>
    <row r="23" spans="2:6" x14ac:dyDescent="0.2">
      <c r="B23" s="3">
        <v>16</v>
      </c>
      <c r="C23" s="52" t="s">
        <v>97</v>
      </c>
      <c r="D23" s="201">
        <v>0</v>
      </c>
      <c r="E23" s="201">
        <v>0</v>
      </c>
      <c r="F23" s="201">
        <v>0</v>
      </c>
    </row>
    <row r="24" spans="2:6" x14ac:dyDescent="0.2">
      <c r="B24" s="3">
        <v>17</v>
      </c>
      <c r="C24" s="52" t="s">
        <v>98</v>
      </c>
      <c r="D24" s="201">
        <v>0</v>
      </c>
      <c r="E24" s="201">
        <v>0</v>
      </c>
      <c r="F24" s="201">
        <v>0</v>
      </c>
    </row>
    <row r="25" spans="2:6" x14ac:dyDescent="0.2">
      <c r="B25" s="3">
        <v>18</v>
      </c>
      <c r="C25" s="53" t="s">
        <v>99</v>
      </c>
      <c r="D25" s="201">
        <v>2.0313487537851941E-3</v>
      </c>
      <c r="E25" s="201">
        <v>2.1976532686193368E-3</v>
      </c>
      <c r="F25" s="201">
        <v>2.3295124647364973E-3</v>
      </c>
    </row>
    <row r="26" spans="2:6" x14ac:dyDescent="0.2">
      <c r="B26" s="3">
        <v>19</v>
      </c>
      <c r="C26" s="53" t="s">
        <v>100</v>
      </c>
      <c r="D26" s="201">
        <v>6.7176092261276216E-2</v>
      </c>
      <c r="E26" s="201">
        <v>7.2177880330949448E-2</v>
      </c>
      <c r="F26" s="201">
        <v>7.6508553150806416E-2</v>
      </c>
    </row>
    <row r="27" spans="2:6" x14ac:dyDescent="0.2">
      <c r="B27" s="3">
        <v>20</v>
      </c>
      <c r="C27" s="53" t="s">
        <v>101</v>
      </c>
      <c r="D27" s="201">
        <v>0</v>
      </c>
      <c r="E27" s="201">
        <v>0</v>
      </c>
      <c r="F27" s="201">
        <v>0</v>
      </c>
    </row>
    <row r="28" spans="2:6" x14ac:dyDescent="0.2">
      <c r="B28" s="3">
        <v>21</v>
      </c>
      <c r="C28" s="53" t="s">
        <v>102</v>
      </c>
      <c r="D28" s="201">
        <v>0</v>
      </c>
      <c r="E28" s="201">
        <v>0</v>
      </c>
      <c r="F28" s="201">
        <v>0</v>
      </c>
    </row>
    <row r="29" spans="2:6" x14ac:dyDescent="0.2">
      <c r="B29" s="3">
        <v>22</v>
      </c>
      <c r="C29" s="53" t="s">
        <v>103</v>
      </c>
      <c r="D29" s="201">
        <v>6.7658136999210119E-8</v>
      </c>
      <c r="E29" s="201">
        <v>7.2816212618400381E-8</v>
      </c>
      <c r="F29" s="201">
        <v>7.7185185375504405E-8</v>
      </c>
    </row>
    <row r="30" spans="2:6" x14ac:dyDescent="0.2">
      <c r="B30" s="3">
        <v>23</v>
      </c>
      <c r="C30" s="53" t="s">
        <v>104</v>
      </c>
      <c r="D30" s="201">
        <v>0</v>
      </c>
      <c r="E30" s="201">
        <v>0</v>
      </c>
      <c r="F30" s="201">
        <v>0</v>
      </c>
    </row>
    <row r="31" spans="2:6" x14ac:dyDescent="0.2">
      <c r="B31" s="3">
        <v>24</v>
      </c>
      <c r="C31" s="53" t="s">
        <v>105</v>
      </c>
      <c r="D31" s="201">
        <v>7.1413871957776262E-4</v>
      </c>
      <c r="E31" s="201">
        <v>7.6894604357666512E-4</v>
      </c>
      <c r="F31" s="201">
        <v>8.1508280619126507E-4</v>
      </c>
    </row>
    <row r="32" spans="2:6" x14ac:dyDescent="0.2">
      <c r="B32" s="3">
        <v>25</v>
      </c>
      <c r="C32" s="53" t="s">
        <v>106</v>
      </c>
      <c r="D32" s="201">
        <v>0</v>
      </c>
      <c r="E32" s="201">
        <v>0</v>
      </c>
      <c r="F32" s="201">
        <v>0</v>
      </c>
    </row>
    <row r="33" spans="2:6" x14ac:dyDescent="0.2">
      <c r="B33" s="3">
        <v>26</v>
      </c>
      <c r="C33" s="53" t="s">
        <v>107</v>
      </c>
      <c r="D33" s="201">
        <v>0</v>
      </c>
      <c r="E33" s="201">
        <v>0</v>
      </c>
      <c r="F33" s="201">
        <v>0</v>
      </c>
    </row>
    <row r="34" spans="2:6" x14ac:dyDescent="0.2">
      <c r="B34" s="3">
        <v>27</v>
      </c>
      <c r="C34" s="53" t="s">
        <v>108</v>
      </c>
      <c r="D34" s="201">
        <v>1.3561361666841688E-4</v>
      </c>
      <c r="E34" s="201">
        <v>1.4086978257578199E-4</v>
      </c>
      <c r="F34" s="201">
        <v>1.4932196953032891E-4</v>
      </c>
    </row>
    <row r="35" spans="2:6" x14ac:dyDescent="0.2">
      <c r="B35" s="3">
        <v>28</v>
      </c>
      <c r="C35" s="53" t="s">
        <v>79</v>
      </c>
      <c r="D35" s="201">
        <v>5.2812069808978275E-3</v>
      </c>
      <c r="E35" s="201">
        <v>6.3017109408906487E-3</v>
      </c>
      <c r="F35" s="201">
        <v>7.4999999999999997E-3</v>
      </c>
    </row>
    <row r="36" spans="2:6" ht="15" x14ac:dyDescent="0.25">
      <c r="B36" s="3">
        <v>29</v>
      </c>
      <c r="C36" s="54" t="s">
        <v>109</v>
      </c>
      <c r="D36" s="104">
        <f>SUM(D8:D35)</f>
        <v>0.22446450055626604</v>
      </c>
      <c r="E36" s="104">
        <f>SUM(E8:E35)</f>
        <v>0.23990760893024707</v>
      </c>
      <c r="F36" s="104">
        <f>SUM(F8:F35)</f>
        <v>0.25512225186871784</v>
      </c>
    </row>
    <row r="37" spans="2:6" ht="15" x14ac:dyDescent="0.25">
      <c r="B37" s="3">
        <v>30</v>
      </c>
      <c r="C37" s="42" t="s">
        <v>13</v>
      </c>
      <c r="D37" s="196"/>
      <c r="E37" s="198"/>
      <c r="F37" s="198"/>
    </row>
    <row r="38" spans="2:6" ht="15" x14ac:dyDescent="0.2">
      <c r="B38" s="3">
        <v>31</v>
      </c>
      <c r="C38" s="19" t="s">
        <v>110</v>
      </c>
      <c r="D38" s="104">
        <f>ROUND(D36-D37,2)</f>
        <v>0.22</v>
      </c>
      <c r="E38" s="104">
        <f t="shared" ref="E38:F38" si="0">ROUND(E36-E37,2)</f>
        <v>0.24</v>
      </c>
      <c r="F38" s="104">
        <f t="shared" si="0"/>
        <v>0.26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2"/>
  <sheetViews>
    <sheetView showGridLines="0" view="pageBreakPreview" topLeftCell="B1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34" t="s">
        <v>298</v>
      </c>
      <c r="C2" s="234"/>
      <c r="D2" s="234"/>
      <c r="E2" s="234"/>
      <c r="F2" s="234"/>
    </row>
    <row r="3" spans="2:6" ht="14.25" customHeight="1" x14ac:dyDescent="0.2">
      <c r="B3" s="234" t="str">
        <f>'F1'!$F$3</f>
        <v>Pochampad-II</v>
      </c>
      <c r="C3" s="234"/>
      <c r="D3" s="234"/>
      <c r="E3" s="234"/>
      <c r="F3" s="234"/>
    </row>
    <row r="4" spans="2:6" s="4" customFormat="1" ht="14.25" customHeight="1" x14ac:dyDescent="0.2">
      <c r="B4" s="234" t="s">
        <v>235</v>
      </c>
      <c r="C4" s="234"/>
      <c r="D4" s="234"/>
      <c r="E4" s="234"/>
      <c r="F4" s="234"/>
    </row>
    <row r="6" spans="2:6" ht="15" x14ac:dyDescent="0.2">
      <c r="F6" s="26" t="s">
        <v>4</v>
      </c>
    </row>
    <row r="7" spans="2:6" ht="12.75" customHeight="1" x14ac:dyDescent="0.2">
      <c r="B7" s="229" t="s">
        <v>164</v>
      </c>
      <c r="C7" s="227" t="s">
        <v>14</v>
      </c>
      <c r="D7" s="15" t="s">
        <v>299</v>
      </c>
      <c r="E7" s="15" t="s">
        <v>300</v>
      </c>
      <c r="F7" s="23" t="s">
        <v>327</v>
      </c>
    </row>
    <row r="8" spans="2:6" ht="15" x14ac:dyDescent="0.2">
      <c r="B8" s="229"/>
      <c r="C8" s="227"/>
      <c r="D8" s="15" t="s">
        <v>206</v>
      </c>
      <c r="E8" s="15" t="s">
        <v>205</v>
      </c>
      <c r="F8" s="15" t="s">
        <v>205</v>
      </c>
    </row>
    <row r="9" spans="2:6" ht="15" x14ac:dyDescent="0.2">
      <c r="B9" s="229"/>
      <c r="C9" s="227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111</v>
      </c>
      <c r="D10" s="201">
        <v>0.13635657957853325</v>
      </c>
      <c r="E10" s="201">
        <v>0.14434195685068998</v>
      </c>
      <c r="F10" s="201">
        <v>0.15300247426173139</v>
      </c>
    </row>
    <row r="11" spans="2:6" x14ac:dyDescent="0.2">
      <c r="B11" s="2">
        <v>2</v>
      </c>
      <c r="C11" s="53" t="s">
        <v>112</v>
      </c>
      <c r="D11" s="201">
        <v>0.11182698081183554</v>
      </c>
      <c r="E11" s="201">
        <v>0.11910275692981898</v>
      </c>
      <c r="F11" s="201">
        <v>0.12624892234560811</v>
      </c>
    </row>
    <row r="12" spans="2:6" x14ac:dyDescent="0.2">
      <c r="B12" s="2">
        <v>3</v>
      </c>
      <c r="C12" s="53" t="s">
        <v>113</v>
      </c>
      <c r="D12" s="201">
        <v>0</v>
      </c>
      <c r="E12" s="201">
        <v>0</v>
      </c>
      <c r="F12" s="201">
        <v>0</v>
      </c>
    </row>
    <row r="13" spans="2:6" x14ac:dyDescent="0.2">
      <c r="B13" s="2">
        <v>4</v>
      </c>
      <c r="C13" s="53" t="s">
        <v>114</v>
      </c>
      <c r="D13" s="201">
        <v>0</v>
      </c>
      <c r="E13" s="201">
        <v>0</v>
      </c>
      <c r="F13" s="201">
        <v>0</v>
      </c>
    </row>
    <row r="14" spans="2:6" x14ac:dyDescent="0.2">
      <c r="B14" s="2">
        <v>5</v>
      </c>
      <c r="C14" s="53" t="s">
        <v>115</v>
      </c>
      <c r="D14" s="201">
        <v>2.181756343457433E-2</v>
      </c>
      <c r="E14" s="201">
        <v>2.3170711218705085E-2</v>
      </c>
      <c r="F14" s="201">
        <v>2.4560953891827393E-2</v>
      </c>
    </row>
    <row r="15" spans="2:6" x14ac:dyDescent="0.2">
      <c r="B15" s="2">
        <v>6</v>
      </c>
      <c r="C15" s="53" t="s">
        <v>116</v>
      </c>
      <c r="D15" s="201">
        <v>9.4747983973695292E-4</v>
      </c>
      <c r="E15" s="201">
        <v>1.0114550303429398E-3</v>
      </c>
      <c r="F15" s="201">
        <v>1.0721423321635162E-3</v>
      </c>
    </row>
    <row r="16" spans="2:6" x14ac:dyDescent="0.2">
      <c r="B16" s="2">
        <v>7</v>
      </c>
      <c r="C16" s="53" t="s">
        <v>117</v>
      </c>
      <c r="D16" s="201">
        <v>0</v>
      </c>
      <c r="E16" s="201">
        <v>0</v>
      </c>
      <c r="F16" s="201">
        <v>0</v>
      </c>
    </row>
    <row r="17" spans="2:6" x14ac:dyDescent="0.2">
      <c r="B17" s="2">
        <v>8</v>
      </c>
      <c r="C17" s="53" t="s">
        <v>118</v>
      </c>
      <c r="D17" s="201">
        <v>1.1713006078289978E-2</v>
      </c>
      <c r="E17" s="201">
        <v>1.2455014354728393E-2</v>
      </c>
      <c r="F17" s="201">
        <v>1.3202315216012096E-2</v>
      </c>
    </row>
    <row r="18" spans="2:6" ht="15" x14ac:dyDescent="0.25">
      <c r="B18" s="2">
        <v>9</v>
      </c>
      <c r="C18" s="54" t="s">
        <v>119</v>
      </c>
      <c r="D18" s="104">
        <f>ROUND(SUM(D10:D17),2)</f>
        <v>0.28000000000000003</v>
      </c>
      <c r="E18" s="104">
        <f t="shared" ref="E18:F18" si="0">ROUND(SUM(E10:E17),2)</f>
        <v>0.3</v>
      </c>
      <c r="F18" s="104">
        <f t="shared" si="0"/>
        <v>0.32</v>
      </c>
    </row>
    <row r="19" spans="2:6" ht="15" x14ac:dyDescent="0.25">
      <c r="B19" s="2"/>
      <c r="C19" s="52"/>
      <c r="D19" s="196"/>
      <c r="E19" s="199"/>
      <c r="F19" s="200"/>
    </row>
    <row r="20" spans="2:6" ht="15" x14ac:dyDescent="0.2">
      <c r="B20" s="2">
        <v>10</v>
      </c>
      <c r="C20" s="56" t="s">
        <v>120</v>
      </c>
      <c r="D20" s="104">
        <f>'F4'!F16</f>
        <v>29.74</v>
      </c>
      <c r="E20" s="104">
        <f>'F4'!F27</f>
        <v>29.74</v>
      </c>
      <c r="F20" s="104">
        <f>'F4'!F38</f>
        <v>29.74</v>
      </c>
    </row>
    <row r="21" spans="2:6" ht="28.5" x14ac:dyDescent="0.2">
      <c r="B21" s="2">
        <v>11</v>
      </c>
      <c r="C21" s="56" t="s">
        <v>121</v>
      </c>
      <c r="D21" s="112">
        <f>IFERROR(D18/D20,0)</f>
        <v>9.4149293880295918E-3</v>
      </c>
      <c r="E21" s="112">
        <f>IFERROR(E18/E20,0)</f>
        <v>1.0087424344317418E-2</v>
      </c>
      <c r="F21" s="112">
        <f>IFERROR(F18/F20,0)</f>
        <v>1.0759919300605247E-2</v>
      </c>
    </row>
    <row r="22" spans="2:6" x14ac:dyDescent="0.2">
      <c r="B22" s="2"/>
      <c r="C22" s="52"/>
      <c r="D22" s="202"/>
      <c r="E22" s="202"/>
      <c r="F22" s="202"/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zoomScale="90" zoomScaleNormal="118" zoomScaleSheetLayoutView="90" workbookViewId="0">
      <selection activeCell="B4" sqref="B4:J4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6384" width="9.28515625" style="4"/>
  </cols>
  <sheetData>
    <row r="1" spans="2:10" ht="15" x14ac:dyDescent="0.25">
      <c r="B1" s="57"/>
    </row>
    <row r="2" spans="2:10" ht="14.25" customHeight="1" x14ac:dyDescent="0.2">
      <c r="B2" s="234" t="s">
        <v>298</v>
      </c>
      <c r="C2" s="234"/>
      <c r="D2" s="234"/>
      <c r="E2" s="234"/>
      <c r="F2" s="234"/>
      <c r="G2" s="234"/>
      <c r="H2" s="234"/>
      <c r="I2" s="234"/>
      <c r="J2" s="234"/>
    </row>
    <row r="3" spans="2:10" ht="14.25" customHeight="1" x14ac:dyDescent="0.2">
      <c r="B3" s="234" t="str">
        <f>'F1'!$F$3</f>
        <v>Pochampad-II</v>
      </c>
      <c r="C3" s="234"/>
      <c r="D3" s="234"/>
      <c r="E3" s="234"/>
      <c r="F3" s="234"/>
      <c r="G3" s="234"/>
      <c r="H3" s="234"/>
      <c r="I3" s="234"/>
      <c r="J3" s="234"/>
    </row>
    <row r="4" spans="2:10" ht="14.25" customHeight="1" x14ac:dyDescent="0.2">
      <c r="B4" s="234" t="s">
        <v>236</v>
      </c>
      <c r="C4" s="234"/>
      <c r="D4" s="234"/>
      <c r="E4" s="234"/>
      <c r="F4" s="234"/>
      <c r="G4" s="234"/>
      <c r="H4" s="234"/>
      <c r="I4" s="234"/>
      <c r="J4" s="234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H6" s="26" t="s">
        <v>4</v>
      </c>
    </row>
    <row r="7" spans="2:10" s="13" customFormat="1" ht="15" customHeight="1" x14ac:dyDescent="0.2">
      <c r="B7" s="224" t="s">
        <v>164</v>
      </c>
      <c r="C7" s="227" t="s">
        <v>14</v>
      </c>
      <c r="D7" s="231" t="s">
        <v>299</v>
      </c>
      <c r="E7" s="232"/>
      <c r="F7" s="233"/>
      <c r="G7" s="231" t="s">
        <v>300</v>
      </c>
      <c r="H7" s="233"/>
      <c r="I7" s="231" t="s">
        <v>327</v>
      </c>
      <c r="J7" s="233"/>
    </row>
    <row r="8" spans="2:10" s="13" customFormat="1" ht="45" x14ac:dyDescent="0.2">
      <c r="B8" s="225"/>
      <c r="C8" s="227"/>
      <c r="D8" s="15" t="s">
        <v>271</v>
      </c>
      <c r="E8" s="15" t="s">
        <v>206</v>
      </c>
      <c r="F8" s="15" t="s">
        <v>178</v>
      </c>
      <c r="G8" s="15" t="s">
        <v>271</v>
      </c>
      <c r="H8" s="15" t="s">
        <v>205</v>
      </c>
      <c r="I8" s="15" t="s">
        <v>271</v>
      </c>
      <c r="J8" s="15" t="s">
        <v>205</v>
      </c>
    </row>
    <row r="9" spans="2:10" s="13" customFormat="1" ht="30" x14ac:dyDescent="0.2">
      <c r="B9" s="226"/>
      <c r="C9" s="228"/>
      <c r="D9" s="15" t="s">
        <v>10</v>
      </c>
      <c r="E9" s="15" t="s">
        <v>12</v>
      </c>
      <c r="F9" s="15" t="s">
        <v>197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210</v>
      </c>
      <c r="D10" s="2"/>
      <c r="E10" s="27"/>
      <c r="F10" s="27"/>
      <c r="G10" s="103"/>
      <c r="H10" s="103">
        <f>E13</f>
        <v>0</v>
      </c>
      <c r="I10" s="103"/>
      <c r="J10" s="103">
        <f>H13</f>
        <v>0</v>
      </c>
    </row>
    <row r="11" spans="2:10" s="5" customFormat="1" x14ac:dyDescent="0.2">
      <c r="B11" s="20">
        <v>2</v>
      </c>
      <c r="C11" s="27" t="s">
        <v>239</v>
      </c>
      <c r="D11" s="2"/>
      <c r="E11" s="100"/>
      <c r="F11" s="100"/>
      <c r="G11" s="21"/>
      <c r="H11" s="103"/>
      <c r="I11" s="103"/>
      <c r="J11" s="103"/>
    </row>
    <row r="12" spans="2:10" s="5" customFormat="1" ht="15" x14ac:dyDescent="0.2">
      <c r="B12" s="20">
        <v>3</v>
      </c>
      <c r="C12" s="29" t="s">
        <v>191</v>
      </c>
      <c r="D12" s="110"/>
      <c r="E12" s="115"/>
      <c r="F12" s="115"/>
      <c r="G12" s="110"/>
      <c r="H12" s="102"/>
      <c r="I12" s="102"/>
      <c r="J12" s="102"/>
    </row>
    <row r="13" spans="2:10" s="5" customFormat="1" ht="15" x14ac:dyDescent="0.2">
      <c r="B13" s="20">
        <v>4</v>
      </c>
      <c r="C13" s="27" t="s">
        <v>211</v>
      </c>
      <c r="D13" s="111">
        <f>D10+D11-D12</f>
        <v>0</v>
      </c>
      <c r="E13" s="111">
        <f t="shared" ref="E13:J13" si="0">E10+E11-E12</f>
        <v>0</v>
      </c>
      <c r="F13" s="111">
        <f t="shared" si="0"/>
        <v>0</v>
      </c>
      <c r="G13" s="111">
        <f t="shared" si="0"/>
        <v>0</v>
      </c>
      <c r="H13" s="111">
        <f>H10+H11-H12</f>
        <v>0</v>
      </c>
      <c r="I13" s="111">
        <f>I10+I11-I12</f>
        <v>0</v>
      </c>
      <c r="J13" s="111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8">
    <mergeCell ref="B2:J2"/>
    <mergeCell ref="B3:J3"/>
    <mergeCell ref="B4:J4"/>
    <mergeCell ref="I7:J7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tabSelected="1" view="pageBreakPreview" zoomScale="90" zoomScaleNormal="106" zoomScaleSheetLayoutView="90" workbookViewId="0">
      <selection sqref="A1:XFD1048576"/>
    </sheetView>
  </sheetViews>
  <sheetFormatPr defaultColWidth="9.140625" defaultRowHeight="14.25" x14ac:dyDescent="0.2"/>
  <cols>
    <col min="1" max="1" width="4.140625" style="5" customWidth="1"/>
    <col min="2" max="2" width="6.28515625" style="5" customWidth="1"/>
    <col min="3" max="3" width="14" style="5" customWidth="1"/>
    <col min="4" max="4" width="23.140625" style="5" customWidth="1"/>
    <col min="5" max="5" width="19.7109375" style="5" customWidth="1"/>
    <col min="6" max="6" width="22" style="5" customWidth="1"/>
    <col min="7" max="7" width="23.5703125" style="5" customWidth="1"/>
    <col min="8" max="8" width="21.7109375" style="5" customWidth="1"/>
    <col min="9" max="9" width="24.5703125" style="5" customWidth="1"/>
    <col min="10" max="10" width="16" style="5" customWidth="1"/>
    <col min="11" max="11" width="36.42578125" style="5" customWidth="1"/>
    <col min="12" max="12" width="16.14062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7" ht="15" x14ac:dyDescent="0.2">
      <c r="B1" s="216"/>
    </row>
    <row r="2" spans="2:17" ht="15" x14ac:dyDescent="0.2">
      <c r="B2" s="260" t="s">
        <v>298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2:17" ht="15" x14ac:dyDescent="0.2">
      <c r="B3" s="260" t="s">
        <v>329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2:17" ht="15" x14ac:dyDescent="0.2">
      <c r="B4" s="234" t="s">
        <v>237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</row>
    <row r="5" spans="2:17" ht="15" x14ac:dyDescent="0.2">
      <c r="K5" s="215"/>
    </row>
    <row r="6" spans="2:17" ht="75" x14ac:dyDescent="0.2">
      <c r="B6" s="261" t="s">
        <v>164</v>
      </c>
      <c r="C6" s="262" t="s">
        <v>212</v>
      </c>
      <c r="D6" s="175" t="s">
        <v>339</v>
      </c>
      <c r="E6" s="262" t="s">
        <v>213</v>
      </c>
      <c r="F6" s="175" t="s">
        <v>215</v>
      </c>
      <c r="G6" s="175" t="s">
        <v>340</v>
      </c>
      <c r="H6" s="175" t="s">
        <v>218</v>
      </c>
      <c r="I6" s="175" t="s">
        <v>341</v>
      </c>
      <c r="J6" s="262" t="s">
        <v>214</v>
      </c>
      <c r="K6" s="175" t="s">
        <v>219</v>
      </c>
      <c r="L6" s="175" t="s">
        <v>158</v>
      </c>
      <c r="M6" s="25"/>
      <c r="N6" s="25"/>
      <c r="O6" s="25"/>
      <c r="P6" s="25"/>
    </row>
    <row r="7" spans="2:17" s="32" customFormat="1" ht="15" x14ac:dyDescent="0.2">
      <c r="B7" s="263"/>
      <c r="C7" s="175" t="s">
        <v>342</v>
      </c>
      <c r="D7" s="264"/>
      <c r="E7" s="264"/>
      <c r="F7" s="264"/>
      <c r="G7" s="264"/>
      <c r="H7" s="264"/>
      <c r="I7" s="264"/>
      <c r="J7" s="264"/>
      <c r="K7" s="175"/>
      <c r="L7" s="265"/>
      <c r="M7" s="216"/>
      <c r="N7" s="216"/>
      <c r="O7" s="216"/>
      <c r="P7" s="216"/>
      <c r="Q7" s="216"/>
    </row>
    <row r="8" spans="2:17" x14ac:dyDescent="0.2">
      <c r="B8" s="263">
        <v>1</v>
      </c>
      <c r="C8" s="263"/>
      <c r="D8" s="186"/>
      <c r="E8" s="186"/>
      <c r="F8" s="186"/>
      <c r="G8" s="186"/>
      <c r="H8" s="186"/>
      <c r="I8" s="186"/>
      <c r="J8" s="186"/>
      <c r="K8" s="186"/>
      <c r="L8" s="186"/>
    </row>
    <row r="9" spans="2:17" x14ac:dyDescent="0.2">
      <c r="B9" s="263">
        <v>2</v>
      </c>
      <c r="C9" s="263"/>
      <c r="D9" s="186"/>
      <c r="E9" s="186"/>
      <c r="F9" s="186"/>
      <c r="G9" s="186"/>
      <c r="H9" s="186"/>
      <c r="I9" s="186"/>
      <c r="J9" s="186"/>
      <c r="K9" s="186"/>
      <c r="L9" s="186"/>
    </row>
    <row r="10" spans="2:17" x14ac:dyDescent="0.2">
      <c r="B10" s="263">
        <v>3</v>
      </c>
      <c r="C10" s="263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2:17" x14ac:dyDescent="0.2">
      <c r="B11" s="186"/>
      <c r="C11" s="186" t="s">
        <v>9</v>
      </c>
      <c r="D11" s="186"/>
      <c r="E11" s="186"/>
      <c r="F11" s="186"/>
      <c r="G11" s="186"/>
      <c r="H11" s="186"/>
      <c r="I11" s="186"/>
      <c r="J11" s="186"/>
      <c r="K11" s="186"/>
      <c r="L11" s="186"/>
    </row>
    <row r="12" spans="2:17" ht="15" x14ac:dyDescent="0.2">
      <c r="B12" s="186"/>
      <c r="C12" s="262" t="s">
        <v>123</v>
      </c>
      <c r="D12" s="186"/>
      <c r="E12" s="186"/>
      <c r="F12" s="186">
        <v>0</v>
      </c>
      <c r="G12" s="186"/>
      <c r="H12" s="186"/>
      <c r="I12" s="186"/>
      <c r="J12" s="186"/>
      <c r="K12" s="186"/>
      <c r="L12" s="186"/>
    </row>
    <row r="13" spans="2:17" ht="15" x14ac:dyDescent="0.2">
      <c r="B13" s="263"/>
      <c r="C13" s="175" t="s">
        <v>343</v>
      </c>
      <c r="D13" s="186"/>
      <c r="E13" s="186"/>
      <c r="F13" s="186"/>
      <c r="G13" s="186"/>
      <c r="H13" s="186"/>
      <c r="I13" s="186"/>
      <c r="J13" s="186"/>
      <c r="K13" s="186"/>
      <c r="L13" s="186"/>
    </row>
    <row r="14" spans="2:17" ht="15" customHeight="1" x14ac:dyDescent="0.2">
      <c r="B14" s="263">
        <v>1</v>
      </c>
      <c r="C14" s="263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2:17" x14ac:dyDescent="0.2">
      <c r="B15" s="263">
        <v>2</v>
      </c>
      <c r="C15" s="263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2:17" x14ac:dyDescent="0.2">
      <c r="B16" s="263">
        <v>3</v>
      </c>
      <c r="C16" s="263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2:12" x14ac:dyDescent="0.2">
      <c r="B17" s="186"/>
      <c r="C17" s="186" t="s">
        <v>9</v>
      </c>
      <c r="D17" s="186"/>
      <c r="E17" s="186"/>
      <c r="F17" s="186"/>
      <c r="G17" s="186"/>
      <c r="H17" s="186"/>
      <c r="I17" s="186"/>
      <c r="J17" s="186"/>
      <c r="K17" s="186"/>
      <c r="L17" s="186"/>
    </row>
    <row r="18" spans="2:12" ht="15" x14ac:dyDescent="0.2">
      <c r="B18" s="186"/>
      <c r="C18" s="262" t="s">
        <v>123</v>
      </c>
      <c r="D18" s="186"/>
      <c r="E18" s="186"/>
      <c r="F18" s="186">
        <v>0</v>
      </c>
      <c r="G18" s="186"/>
      <c r="H18" s="186"/>
      <c r="I18" s="186"/>
      <c r="J18" s="186"/>
      <c r="K18" s="186"/>
      <c r="L18" s="186"/>
    </row>
    <row r="19" spans="2:12" ht="15" x14ac:dyDescent="0.2">
      <c r="B19" s="263"/>
      <c r="C19" s="175" t="s">
        <v>344</v>
      </c>
      <c r="D19" s="186"/>
      <c r="E19" s="186"/>
      <c r="F19" s="186"/>
      <c r="G19" s="186"/>
      <c r="H19" s="186"/>
      <c r="I19" s="186"/>
      <c r="J19" s="186"/>
      <c r="K19" s="186"/>
      <c r="L19" s="186"/>
    </row>
    <row r="20" spans="2:12" x14ac:dyDescent="0.2">
      <c r="B20" s="263">
        <v>1</v>
      </c>
      <c r="C20" s="263"/>
      <c r="D20" s="186"/>
      <c r="E20" s="186"/>
      <c r="F20" s="186"/>
      <c r="G20" s="186"/>
      <c r="H20" s="186"/>
      <c r="I20" s="186"/>
      <c r="J20" s="186"/>
      <c r="K20" s="186"/>
      <c r="L20" s="186"/>
    </row>
    <row r="21" spans="2:12" x14ac:dyDescent="0.2">
      <c r="B21" s="263">
        <v>2</v>
      </c>
      <c r="C21" s="263"/>
      <c r="D21" s="186"/>
      <c r="E21" s="186"/>
      <c r="F21" s="186"/>
      <c r="G21" s="186"/>
      <c r="H21" s="186"/>
      <c r="I21" s="186"/>
      <c r="J21" s="186"/>
      <c r="K21" s="186"/>
      <c r="L21" s="186"/>
    </row>
    <row r="22" spans="2:12" x14ac:dyDescent="0.2">
      <c r="B22" s="263">
        <v>3</v>
      </c>
      <c r="C22" s="263"/>
      <c r="D22" s="186"/>
      <c r="E22" s="186"/>
      <c r="F22" s="186"/>
      <c r="G22" s="186"/>
      <c r="H22" s="186"/>
      <c r="I22" s="186"/>
      <c r="J22" s="186"/>
      <c r="K22" s="186"/>
      <c r="L22" s="186"/>
    </row>
    <row r="23" spans="2:12" x14ac:dyDescent="0.2">
      <c r="B23" s="186"/>
      <c r="C23" s="186" t="s">
        <v>9</v>
      </c>
      <c r="D23" s="186"/>
      <c r="E23" s="186"/>
      <c r="F23" s="186"/>
      <c r="G23" s="186"/>
      <c r="H23" s="186"/>
      <c r="I23" s="186"/>
      <c r="J23" s="186"/>
      <c r="K23" s="186"/>
      <c r="L23" s="186"/>
    </row>
    <row r="24" spans="2:12" ht="15" x14ac:dyDescent="0.2">
      <c r="B24" s="186"/>
      <c r="C24" s="262" t="s">
        <v>123</v>
      </c>
      <c r="D24" s="186"/>
      <c r="E24" s="186"/>
      <c r="F24" s="186">
        <v>0</v>
      </c>
      <c r="G24" s="186"/>
      <c r="H24" s="186"/>
      <c r="I24" s="186"/>
      <c r="J24" s="186"/>
      <c r="K24" s="186"/>
      <c r="L24" s="186"/>
    </row>
    <row r="25" spans="2:12" x14ac:dyDescent="0.2">
      <c r="B25" s="62" t="s">
        <v>216</v>
      </c>
      <c r="C25" s="50" t="s">
        <v>217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3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zoomScaleSheetLayoutView="100" workbookViewId="0">
      <selection activeCell="D3" sqref="D3"/>
    </sheetView>
  </sheetViews>
  <sheetFormatPr defaultColWidth="9.28515625" defaultRowHeight="14.25" x14ac:dyDescent="0.2"/>
  <cols>
    <col min="1" max="2" width="9.28515625" style="85"/>
    <col min="3" max="3" width="42" style="85" customWidth="1"/>
    <col min="4" max="4" width="16.28515625" style="85" customWidth="1"/>
    <col min="5" max="5" width="12.5703125" style="85" customWidth="1"/>
    <col min="6" max="6" width="16.28515625" style="85" customWidth="1"/>
    <col min="7" max="16384" width="9.28515625" style="85"/>
  </cols>
  <sheetData>
    <row r="2" spans="2:6" ht="15" x14ac:dyDescent="0.2">
      <c r="D2" s="32" t="s">
        <v>298</v>
      </c>
    </row>
    <row r="3" spans="2:6" ht="15" x14ac:dyDescent="0.2">
      <c r="D3" s="32" t="str">
        <f>'F1'!$F$3</f>
        <v>Pochampad-II</v>
      </c>
    </row>
    <row r="4" spans="2:6" ht="15" x14ac:dyDescent="0.2">
      <c r="D4" s="35" t="s">
        <v>261</v>
      </c>
    </row>
    <row r="6" spans="2:6" ht="15" customHeight="1" x14ac:dyDescent="0.2">
      <c r="B6" s="229" t="s">
        <v>164</v>
      </c>
      <c r="C6" s="241" t="s">
        <v>14</v>
      </c>
      <c r="D6" s="229" t="s">
        <v>299</v>
      </c>
      <c r="E6" s="123" t="s">
        <v>328</v>
      </c>
      <c r="F6" s="15" t="s">
        <v>327</v>
      </c>
    </row>
    <row r="7" spans="2:6" ht="15" x14ac:dyDescent="0.2">
      <c r="B7" s="229"/>
      <c r="C7" s="241"/>
      <c r="D7" s="229"/>
      <c r="E7" s="15" t="s">
        <v>205</v>
      </c>
      <c r="F7" s="15" t="s">
        <v>195</v>
      </c>
    </row>
    <row r="8" spans="2:6" ht="15" x14ac:dyDescent="0.2">
      <c r="B8" s="229"/>
      <c r="C8" s="241"/>
      <c r="D8" s="86" t="s">
        <v>3</v>
      </c>
      <c r="E8" s="15" t="s">
        <v>5</v>
      </c>
      <c r="F8" s="15" t="s">
        <v>8</v>
      </c>
    </row>
    <row r="9" spans="2:6" ht="15" x14ac:dyDescent="0.2">
      <c r="B9" s="87">
        <v>1</v>
      </c>
      <c r="C9" s="28" t="s">
        <v>262</v>
      </c>
      <c r="D9" s="101">
        <f>F3.1!H12</f>
        <v>0</v>
      </c>
      <c r="E9" s="101">
        <f>F3.1!H18</f>
        <v>0</v>
      </c>
      <c r="F9" s="101">
        <f>F3.1!H24</f>
        <v>0</v>
      </c>
    </row>
    <row r="10" spans="2:6" x14ac:dyDescent="0.2">
      <c r="B10" s="28"/>
      <c r="C10" s="28"/>
      <c r="D10" s="95"/>
      <c r="E10" s="95"/>
      <c r="F10" s="95"/>
    </row>
    <row r="11" spans="2:6" ht="15" x14ac:dyDescent="0.2">
      <c r="B11" s="87">
        <v>2</v>
      </c>
      <c r="C11" s="88" t="s">
        <v>159</v>
      </c>
      <c r="D11" s="95"/>
      <c r="E11" s="95"/>
      <c r="F11" s="95"/>
    </row>
    <row r="12" spans="2:6" x14ac:dyDescent="0.2">
      <c r="B12" s="28"/>
      <c r="C12" s="28" t="s">
        <v>163</v>
      </c>
      <c r="D12" s="95"/>
      <c r="E12" s="95"/>
      <c r="F12" s="95"/>
    </row>
    <row r="13" spans="2:6" x14ac:dyDescent="0.2">
      <c r="B13" s="28"/>
      <c r="C13" s="28" t="s">
        <v>162</v>
      </c>
      <c r="D13" s="95"/>
      <c r="E13" s="95"/>
      <c r="F13" s="95"/>
    </row>
    <row r="14" spans="2:6" x14ac:dyDescent="0.2">
      <c r="B14" s="28"/>
      <c r="C14" s="28" t="s">
        <v>9</v>
      </c>
      <c r="D14" s="95"/>
      <c r="E14" s="95"/>
      <c r="F14" s="95"/>
    </row>
    <row r="15" spans="2:6" ht="15" x14ac:dyDescent="0.2">
      <c r="B15" s="28"/>
      <c r="C15" s="88" t="s">
        <v>157</v>
      </c>
      <c r="D15" s="101">
        <f>SUM(D12:D14)</f>
        <v>0</v>
      </c>
      <c r="E15" s="101">
        <f>SUM(E12:E14)</f>
        <v>0</v>
      </c>
      <c r="F15" s="101">
        <f>SUM(F12:F14)</f>
        <v>0</v>
      </c>
    </row>
    <row r="16" spans="2:6" x14ac:dyDescent="0.2">
      <c r="B16" s="28"/>
      <c r="C16" s="28"/>
      <c r="D16" s="95"/>
      <c r="E16" s="95"/>
      <c r="F16" s="95"/>
    </row>
    <row r="17" spans="2:6" x14ac:dyDescent="0.2">
      <c r="B17" s="87">
        <v>3</v>
      </c>
      <c r="C17" s="28" t="s">
        <v>0</v>
      </c>
      <c r="D17" s="95"/>
      <c r="E17" s="95"/>
      <c r="F17" s="95"/>
    </row>
    <row r="18" spans="2:6" x14ac:dyDescent="0.2">
      <c r="B18" s="87">
        <v>4</v>
      </c>
      <c r="C18" s="28" t="s">
        <v>160</v>
      </c>
      <c r="D18" s="95">
        <f>D9</f>
        <v>0</v>
      </c>
      <c r="E18" s="95">
        <f>E9</f>
        <v>0</v>
      </c>
      <c r="F18" s="95">
        <f>F9</f>
        <v>0</v>
      </c>
    </row>
    <row r="19" spans="2:6" x14ac:dyDescent="0.2">
      <c r="B19" s="87">
        <v>5</v>
      </c>
      <c r="C19" s="28" t="s">
        <v>263</v>
      </c>
      <c r="D19" s="95"/>
      <c r="E19" s="95"/>
      <c r="F19" s="95"/>
    </row>
    <row r="20" spans="2:6" ht="15" x14ac:dyDescent="0.2">
      <c r="B20" s="28"/>
      <c r="C20" s="28"/>
      <c r="D20" s="99"/>
      <c r="E20" s="99"/>
      <c r="F20" s="99"/>
    </row>
    <row r="21" spans="2:6" ht="15" x14ac:dyDescent="0.2">
      <c r="B21" s="87">
        <v>6</v>
      </c>
      <c r="C21" s="88" t="s">
        <v>264</v>
      </c>
      <c r="D21" s="101">
        <f>D15+D17+D18+D19</f>
        <v>0</v>
      </c>
      <c r="E21" s="101">
        <f>SUM(E18:E20)</f>
        <v>0</v>
      </c>
      <c r="F21" s="101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2025-11-28T10:56:30Z</cp:lastPrinted>
  <dcterms:created xsi:type="dcterms:W3CDTF">2004-07-28T05:30:50Z</dcterms:created>
  <dcterms:modified xsi:type="dcterms:W3CDTF">2025-12-16T10:58:47Z</dcterms:modified>
</cp:coreProperties>
</file>